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y Drive\TVX\TVX 2020\Session 8\"/>
    </mc:Choice>
  </mc:AlternateContent>
  <bookViews>
    <workbookView xWindow="0" yWindow="0" windowWidth="19170" windowHeight="7680" firstSheet="2" activeTab="11"/>
  </bookViews>
  <sheets>
    <sheet name="Overview" sheetId="1" r:id="rId1"/>
    <sheet name="Assumptions" sheetId="10" r:id="rId2"/>
    <sheet name="Operating Expenses" sheetId="3" r:id="rId3"/>
    <sheet name="Products" sheetId="12" r:id="rId4"/>
    <sheet name="Sales" sheetId="2" r:id="rId5"/>
    <sheet name="Cash Flow" sheetId="11" r:id="rId6"/>
    <sheet name="Loans" sheetId="13" r:id="rId7"/>
    <sheet name="Equipment" sheetId="14" r:id="rId8"/>
    <sheet name="Income Statement" sheetId="6" r:id="rId9"/>
    <sheet name="Balance Sheet" sheetId="5" r:id="rId10"/>
    <sheet name="Graphs" sheetId="15" r:id="rId11"/>
    <sheet name="FAQ" sheetId="9" r:id="rId12"/>
  </sheets>
  <definedNames>
    <definedName name="AP">Assumptions!$B$17</definedName>
    <definedName name="AprAR">'Cash Flow'!$E$33</definedName>
    <definedName name="AprCOGS">Sales!$E$20</definedName>
    <definedName name="AprCommish">'Operating Expenses'!$E$32</definedName>
    <definedName name="AprDepr">Equipment!$E$15</definedName>
    <definedName name="AprEndingCash">'Cash Flow'!$E$31</definedName>
    <definedName name="AprEqmt">Equipment!$E$13</definedName>
    <definedName name="AprEquity">'Cash Flow'!$E$18</definedName>
    <definedName name="AprFreight">Sales!$E$19</definedName>
    <definedName name="AprIncome">'Income Statement'!$E$43</definedName>
    <definedName name="AprIncomeTax">'Income Statement'!$E$41</definedName>
    <definedName name="AprInt">Loans!$F$127</definedName>
    <definedName name="AprInventory">'Balance Sheet'!$F$10</definedName>
    <definedName name="AprLabor">Sales!$E$16</definedName>
    <definedName name="AprLine1COGS">Sales!$E$31</definedName>
    <definedName name="AprLine1Freight">Sales!$E$49</definedName>
    <definedName name="AprLine1Labor">Sales!$E$43</definedName>
    <definedName name="AprLine1Mat">Sales!$E$37</definedName>
    <definedName name="AprLine1Price">Sales!$E$25</definedName>
    <definedName name="AprLine1Sales">Sales!#REF!</definedName>
    <definedName name="AprLine1Units">Sales!$E$6</definedName>
    <definedName name="AprLine2COGS">Sales!$E$32</definedName>
    <definedName name="AprLine2Freight">Sales!$E$50</definedName>
    <definedName name="AprLine2Labor">Sales!$E$44</definedName>
    <definedName name="AprLine2Mat">Sales!$E$38</definedName>
    <definedName name="AprLine2Price">Sales!$E$26</definedName>
    <definedName name="AprLine2Sales">Sales!#REF!</definedName>
    <definedName name="AprLine2Units">Sales!$E$7</definedName>
    <definedName name="AprLine3COGS">Sales!$E$33</definedName>
    <definedName name="AprLine3Freight">Sales!$E$51</definedName>
    <definedName name="AprLine3Labor">Sales!$E$45</definedName>
    <definedName name="AprLine3Mat">Sales!$E$39</definedName>
    <definedName name="AprLine3Price">Sales!$E$27</definedName>
    <definedName name="AprLine3Sales">Sales!#REF!</definedName>
    <definedName name="AprLine3Units">Sales!$E$8</definedName>
    <definedName name="AprLine4COGS">Sales!$E$34</definedName>
    <definedName name="AprLine4Freight">Sales!$E$52</definedName>
    <definedName name="AprLine4Labor">Sales!$E$46</definedName>
    <definedName name="AprLine4Mat">Sales!$E$40</definedName>
    <definedName name="AprLine4Price">Sales!$E$28</definedName>
    <definedName name="AprLine4Sales">Sales!#REF!</definedName>
    <definedName name="AprLine4Units">Sales!$E$9</definedName>
    <definedName name="AprLine5COGS">Sales!$E$35</definedName>
    <definedName name="AprLine5Freight">Sales!$E$53</definedName>
    <definedName name="AprLine5Labor">Sales!$E$47</definedName>
    <definedName name="AprLine5Mat">Sales!$E$41</definedName>
    <definedName name="AprLine5Price">Sales!$E$29</definedName>
    <definedName name="AprLine5Sales">Sales!#REF!</definedName>
    <definedName name="AprLine5Units">Sales!$E$10</definedName>
    <definedName name="AprLoans">'Cash Flow'!$E$13</definedName>
    <definedName name="AprLong">Loans!$F$124</definedName>
    <definedName name="AprMat">Sales!$E$18</definedName>
    <definedName name="AprNet">Sales!$E$14</definedName>
    <definedName name="AprOE" localSheetId="7">Equipment!#REF!</definedName>
    <definedName name="AprOE">'Operating Expenses'!$E$31</definedName>
    <definedName name="AprOEPRTax">'Operating Expenses'!$E$33</definedName>
    <definedName name="AprPayment">'Cash Flow'!$E$17</definedName>
    <definedName name="AprPrinciple">'Cash Flow'!$E$14</definedName>
    <definedName name="AprPRTax">Sales!$E$17</definedName>
    <definedName name="AprRate">'Cash Flow'!$E$15</definedName>
    <definedName name="AprRevenue">Sales!$E$12</definedName>
    <definedName name="AprSales">Sales!$E$11</definedName>
    <definedName name="AprShort">Loans!$F$125</definedName>
    <definedName name="AprTaxes">'Cash Flow'!$E$22</definedName>
    <definedName name="AprTerm">'Cash Flow'!$E$16</definedName>
    <definedName name="AprTotalPays">Loans!$F$128</definedName>
    <definedName name="AprTotEquity">'Balance Sheet'!$F$26</definedName>
    <definedName name="AR120DaysPercent">Assumptions!$B$12</definedName>
    <definedName name="AR30DaysPercent">Assumptions!$B$9</definedName>
    <definedName name="AR60DaysPercent">Assumptions!$B$10</definedName>
    <definedName name="AR90DaysPercent">Assumptions!$B$11</definedName>
    <definedName name="ARNeverPercent">Assumptions!#REF!</definedName>
    <definedName name="AugAR">'Cash Flow'!$I$33</definedName>
    <definedName name="AugCOGS">Sales!$I$20</definedName>
    <definedName name="AugCommish">'Operating Expenses'!$I$32</definedName>
    <definedName name="AugDepr">Equipment!$I$15</definedName>
    <definedName name="AugEndingCash">'Cash Flow'!$I$31</definedName>
    <definedName name="AugEqmt">Equipment!$I$13</definedName>
    <definedName name="AugEquity">'Cash Flow'!$I$18</definedName>
    <definedName name="AugFreight">Sales!$I$19</definedName>
    <definedName name="AugIncome">'Income Statement'!$I$43</definedName>
    <definedName name="AugIncomeTax">'Income Statement'!$I$41</definedName>
    <definedName name="AugInt">Loans!$J$127</definedName>
    <definedName name="AugInventory">'Balance Sheet'!$J$10</definedName>
    <definedName name="AugLabor">Sales!$I$16</definedName>
    <definedName name="AugLine1COGS">Sales!$I$31</definedName>
    <definedName name="AugLine1Freight">Sales!$I$49</definedName>
    <definedName name="AugLine1Labor">Sales!$I$43</definedName>
    <definedName name="AugLine1Mat">Sales!$I$37</definedName>
    <definedName name="AugLine1Price">Sales!$I$25</definedName>
    <definedName name="AugLine1Sales">Sales!#REF!</definedName>
    <definedName name="AugLine1Units">Sales!$I$6</definedName>
    <definedName name="AugLine2COGS">Sales!$I$32</definedName>
    <definedName name="AugLine2Freight">Sales!$I$50</definedName>
    <definedName name="AugLine2Labor">Sales!$I$44</definedName>
    <definedName name="AugLine2Mat">Sales!$I$38</definedName>
    <definedName name="AugLine2Price">Sales!$I$26</definedName>
    <definedName name="AugLine2Sales">Sales!#REF!</definedName>
    <definedName name="AugLine2Units">Sales!$I$7</definedName>
    <definedName name="AugLine3COGS">Sales!$I$33</definedName>
    <definedName name="AugLine3Freight">Sales!$I$51</definedName>
    <definedName name="AugLine3Labor">Sales!$I$45</definedName>
    <definedName name="AugLine3Mat">Sales!$I$39</definedName>
    <definedName name="AugLine3Price">Sales!$I$27</definedName>
    <definedName name="AugLine3Sales">Sales!#REF!</definedName>
    <definedName name="AugLine3Units">Sales!$I$8</definedName>
    <definedName name="AugLine4COGS">Sales!$I$34</definedName>
    <definedName name="AugLine4Freight">Sales!$I$52</definedName>
    <definedName name="AugLine4Labor">Sales!$I$46</definedName>
    <definedName name="AugLine4Mat">Sales!$I$40</definedName>
    <definedName name="AugLine4Price">Sales!$I$28</definedName>
    <definedName name="AugLine4Sales">Sales!#REF!</definedName>
    <definedName name="AugLine4Units">Sales!$I$9</definedName>
    <definedName name="AugLine5COGS">Sales!$I$35</definedName>
    <definedName name="AugLine5Freight">Sales!$I$53</definedName>
    <definedName name="AugLine5Labor">Sales!$I$47</definedName>
    <definedName name="AugLine5Mat">Sales!$I$41</definedName>
    <definedName name="AugLine5Price">Sales!$I$29</definedName>
    <definedName name="AugLine5Sales">Sales!#REF!</definedName>
    <definedName name="AugLine5Units">Sales!$I$10</definedName>
    <definedName name="AugLoans">'Cash Flow'!$I$13</definedName>
    <definedName name="AugLong">Loans!$J$124</definedName>
    <definedName name="AugMat">Sales!$I$18</definedName>
    <definedName name="AugNet">Sales!$I$14</definedName>
    <definedName name="AugOE" localSheetId="7">Equipment!#REF!</definedName>
    <definedName name="AugOE">'Operating Expenses'!$I$31</definedName>
    <definedName name="AugOEPRTax">'Operating Expenses'!$I$33</definedName>
    <definedName name="AugPayment">'Cash Flow'!$I$17</definedName>
    <definedName name="AugPrinciple">'Cash Flow'!$I$14</definedName>
    <definedName name="AugPRTax">Sales!$I$17</definedName>
    <definedName name="AugRate">'Cash Flow'!$I$15</definedName>
    <definedName name="AugRevenue">Sales!$I$12</definedName>
    <definedName name="AugSales">Sales!$I$11</definedName>
    <definedName name="AugShort">Loans!$J$125</definedName>
    <definedName name="AugTaxes">'Cash Flow'!$I$22</definedName>
    <definedName name="AugTerm">'Cash Flow'!$I$16</definedName>
    <definedName name="AugTotalPays">Loans!$J$128</definedName>
    <definedName name="AugTotEquity">'Balance Sheet'!$J$26</definedName>
    <definedName name="BCCOGS">#REF!</definedName>
    <definedName name="BCCurrentAssets">#REF!</definedName>
    <definedName name="BCGross">#REF!</definedName>
    <definedName name="BCOE">#REF!</definedName>
    <definedName name="BCOther">#REF!</definedName>
    <definedName name="BCRetained">#REF!</definedName>
    <definedName name="BCSales">#REF!</definedName>
    <definedName name="BeginningCash">Assumptions!$B$22</definedName>
    <definedName name="ByWhatDropdown">Overview!$F$17:$F$17</definedName>
    <definedName name="CashSalesPercent">Assumptions!$B$5</definedName>
    <definedName name="COGSLastItem">Products!$A$14</definedName>
    <definedName name="CompanyHeader">Products!$A$3</definedName>
    <definedName name="CompanyName">Overview!$B$16</definedName>
    <definedName name="ComparisonsBy">Overview!#REF!</definedName>
    <definedName name="DecAR">'Cash Flow'!$M$33</definedName>
    <definedName name="DecCOGS">Sales!$M$20</definedName>
    <definedName name="DecCommish">'Operating Expenses'!$M$32</definedName>
    <definedName name="DecDepr">Equipment!$M$15</definedName>
    <definedName name="DecEndingCash">'Cash Flow'!$M$31</definedName>
    <definedName name="DecEqmt">Equipment!$M$13</definedName>
    <definedName name="DecEquity">'Cash Flow'!$M$18</definedName>
    <definedName name="DecFreight">Sales!$M$19</definedName>
    <definedName name="DecIncome">'Income Statement'!$M$43</definedName>
    <definedName name="DecIncomeTax">'Income Statement'!$M$41</definedName>
    <definedName name="DecInt">Loans!$N$127</definedName>
    <definedName name="DecInventory">'Balance Sheet'!$N$10</definedName>
    <definedName name="DecLabor">Sales!$M$16</definedName>
    <definedName name="DecLine1COGS">Sales!$M$31</definedName>
    <definedName name="DecLine1Freight">Sales!$M$49</definedName>
    <definedName name="DecLine1Labor">Sales!$M$43</definedName>
    <definedName name="DecLine1Mat">Sales!$M$37</definedName>
    <definedName name="DecLine1Price">Sales!$M$25</definedName>
    <definedName name="DecLine1Sales">Sales!#REF!</definedName>
    <definedName name="DecLine1Units">Sales!$M$6</definedName>
    <definedName name="DecLine2COGS">Sales!$M$32</definedName>
    <definedName name="DecLine2Freight">Sales!$M$50</definedName>
    <definedName name="DecLine2Labor">Sales!$M$44</definedName>
    <definedName name="DecLine2Mat">Sales!$M$38</definedName>
    <definedName name="DecLine2Price">Sales!$M$26</definedName>
    <definedName name="DecLine2Sales">Sales!#REF!</definedName>
    <definedName name="DecLine2Units">Sales!$M$7</definedName>
    <definedName name="DecLine3COGS">Sales!$M$33</definedName>
    <definedName name="DecLine3Freight">Sales!$M$51</definedName>
    <definedName name="DecLine3Labor">Sales!$M$45</definedName>
    <definedName name="DecLine3Mat">Sales!$M$39</definedName>
    <definedName name="DecLine3Price">Sales!$M$27</definedName>
    <definedName name="DecLine3Sales">Sales!#REF!</definedName>
    <definedName name="DecLine3Units">Sales!$M$8</definedName>
    <definedName name="DecLine4COGS">Sales!$M$34</definedName>
    <definedName name="DecLine4Freight">Sales!$M$52</definedName>
    <definedName name="DecLine4Labor">Sales!$M$46</definedName>
    <definedName name="DecLine4Mat">Sales!$M$40</definedName>
    <definedName name="DecLine4Price">Sales!$M$28</definedName>
    <definedName name="DecLine4Sales">Sales!#REF!</definedName>
    <definedName name="DecLine4Units">Sales!$M$9</definedName>
    <definedName name="DecLine5COGS">Sales!$M$35</definedName>
    <definedName name="DecLine5Freight">Sales!$M$53</definedName>
    <definedName name="DecLine5Labor">Sales!$M$47</definedName>
    <definedName name="DecLine5Mat">Sales!$M$41</definedName>
    <definedName name="DecLine5Price">Sales!$M$29</definedName>
    <definedName name="DecLine5Sales">Sales!#REF!</definedName>
    <definedName name="DecLine5Units">Sales!$M$10</definedName>
    <definedName name="DecLoans">'Cash Flow'!$M$13</definedName>
    <definedName name="DecLong">Loans!$N$124</definedName>
    <definedName name="DecMat">Sales!$M$18</definedName>
    <definedName name="DecNet">Sales!$M$14</definedName>
    <definedName name="DecOE" localSheetId="7">Equipment!#REF!</definedName>
    <definedName name="DecOE">'Operating Expenses'!$M$31</definedName>
    <definedName name="DecOEPRTax">'Operating Expenses'!$M$33</definedName>
    <definedName name="DecPayment">'Cash Flow'!$M$17</definedName>
    <definedName name="DecPrinciple">'Cash Flow'!$M$14</definedName>
    <definedName name="DecPRTax">Sales!$M$17</definedName>
    <definedName name="DecRate">'Cash Flow'!$M$15</definedName>
    <definedName name="DecRevenue">Sales!$M$12</definedName>
    <definedName name="DecSales">Sales!$M$11</definedName>
    <definedName name="DecShort">Loans!$N$125</definedName>
    <definedName name="DecTaxes">'Cash Flow'!$M$22</definedName>
    <definedName name="DecTerm">'Cash Flow'!$M$16</definedName>
    <definedName name="DecTotalPays">Loans!$N$128</definedName>
    <definedName name="DecTotEquity">'Balance Sheet'!$N$26</definedName>
    <definedName name="ExistingLong">Loans!$B$124</definedName>
    <definedName name="ExistingName">Assumptions!$B$32</definedName>
    <definedName name="ExistingName2">Assumptions!$C$32</definedName>
    <definedName name="ExistingName3">Assumptions!$D$32</definedName>
    <definedName name="ExistingName4">Assumptions!$E$32</definedName>
    <definedName name="ExistingName5">Assumptions!$G$32</definedName>
    <definedName name="ExistingPayment">Assumptions!$B$36</definedName>
    <definedName name="ExistingPayment2">Assumptions!$C$36</definedName>
    <definedName name="ExistingPayment3">Assumptions!$D$36</definedName>
    <definedName name="ExistingPayment4">Assumptions!$E$36</definedName>
    <definedName name="ExistingPayment5">Assumptions!$G$36</definedName>
    <definedName name="ExistingPrinciple">Assumptions!$B$33</definedName>
    <definedName name="ExistingPrinciple2">Assumptions!$C$33</definedName>
    <definedName name="ExistingPrinciple3">Assumptions!$D$33</definedName>
    <definedName name="ExistingPrinciple4">Assumptions!$E$33</definedName>
    <definedName name="ExistingPrinciple5">Assumptions!$G$33</definedName>
    <definedName name="ExistingRate">Assumptions!$B$34</definedName>
    <definedName name="ExistingRate2">Assumptions!$C$34</definedName>
    <definedName name="ExistingRate3">Assumptions!$D$34</definedName>
    <definedName name="ExistingRate4">Assumptions!$E$34</definedName>
    <definedName name="ExistingRate5">Assumptions!$G$34</definedName>
    <definedName name="ExistingShort">Loans!$B$125</definedName>
    <definedName name="ExistingTerm">Assumptions!$B$35</definedName>
    <definedName name="ExistingTerm2">Assumptions!$C$35</definedName>
    <definedName name="ExistingTerm3">Assumptions!$D$35</definedName>
    <definedName name="ExistingTerm4">Assumptions!$E$35</definedName>
    <definedName name="ExistingTerm5">Assumptions!$G$35</definedName>
    <definedName name="FebAR">'Cash Flow'!$C$33</definedName>
    <definedName name="FebCOGS">Sales!$C$20</definedName>
    <definedName name="FebCommish">'Operating Expenses'!$C$32</definedName>
    <definedName name="FebDepr">Equipment!$C$15</definedName>
    <definedName name="FebEndingCash">'Cash Flow'!$C$31</definedName>
    <definedName name="FebEqmt">Equipment!$C$13</definedName>
    <definedName name="FebEquity">'Cash Flow'!$C$18</definedName>
    <definedName name="FebFreight">Sales!$C$19</definedName>
    <definedName name="FebIncome">'Income Statement'!$C$43</definedName>
    <definedName name="FebIncomeTax">'Income Statement'!$C$41</definedName>
    <definedName name="FebInt">Loans!$D$127</definedName>
    <definedName name="FebInventory">'Balance Sheet'!$D$10</definedName>
    <definedName name="FebLabor">Sales!$C$16</definedName>
    <definedName name="FebLine1COGS">Sales!$C$31</definedName>
    <definedName name="FebLine1Freight">Sales!$C$49</definedName>
    <definedName name="FebLine1Labor">Sales!$C$43</definedName>
    <definedName name="FebLine1Mat">Sales!$C$37</definedName>
    <definedName name="FebLine1Price">Sales!$C$25</definedName>
    <definedName name="FebLine1Sales">Sales!#REF!</definedName>
    <definedName name="FebLine1Units">Sales!$C$6</definedName>
    <definedName name="FebLine2COGS">Sales!$C$32</definedName>
    <definedName name="FebLine2Freight">Sales!$C$50</definedName>
    <definedName name="FebLine2Labor">Sales!$C$44</definedName>
    <definedName name="FebLine2Mat">Sales!$C$38</definedName>
    <definedName name="FebLine2Price">Sales!$C$26</definedName>
    <definedName name="FebLine2Sales">Sales!#REF!</definedName>
    <definedName name="FebLine2Units">Sales!$C$7</definedName>
    <definedName name="FebLine3COGS">Sales!$C$33</definedName>
    <definedName name="FebLine3Freight">Sales!$C$51</definedName>
    <definedName name="FebLine3Labor">Sales!$C$45</definedName>
    <definedName name="FebLine3Mat">Sales!$C$39</definedName>
    <definedName name="FebLine3Price">Sales!$C$27</definedName>
    <definedName name="FebLine3Sales">Sales!#REF!</definedName>
    <definedName name="FebLine3Units">Sales!$C$8</definedName>
    <definedName name="FebLine4COGS">Sales!$C$34</definedName>
    <definedName name="FebLine4Freight">Sales!$C$52</definedName>
    <definedName name="FebLine4Labor">Sales!$C$46</definedName>
    <definedName name="FebLine4Mat">Sales!$C$40</definedName>
    <definedName name="FebLine4Price">Sales!$C$28</definedName>
    <definedName name="FebLine4Sales">Sales!#REF!</definedName>
    <definedName name="FebLine4Units">Sales!$C$9</definedName>
    <definedName name="FebLine5COGS">Sales!$C$35</definedName>
    <definedName name="FebLine5Freight">Sales!$C$53</definedName>
    <definedName name="FebLine5Labor">Sales!$C$47</definedName>
    <definedName name="FebLine5Mat">Sales!$C$41</definedName>
    <definedName name="FebLine5Price">Sales!$C$29</definedName>
    <definedName name="FebLine5Sales">Sales!#REF!</definedName>
    <definedName name="FebLine5Units">Sales!$C$10</definedName>
    <definedName name="FebLoans">'Cash Flow'!$C$13</definedName>
    <definedName name="FebLong">Loans!$D$124</definedName>
    <definedName name="FebMat">Sales!$C$18</definedName>
    <definedName name="FebNet">Sales!$C$14</definedName>
    <definedName name="FebOE" localSheetId="7">Equipment!#REF!</definedName>
    <definedName name="FebOE">'Operating Expenses'!$C$31</definedName>
    <definedName name="FebOEPRTax">'Operating Expenses'!$C$33</definedName>
    <definedName name="FebPayment">'Cash Flow'!$C$17</definedName>
    <definedName name="FebPrinciple">'Cash Flow'!$C$14</definedName>
    <definedName name="FebPRTax">Sales!$C$17</definedName>
    <definedName name="FebRate">'Cash Flow'!$C$15</definedName>
    <definedName name="FebRevenue">Sales!$C$12</definedName>
    <definedName name="FebSales">Sales!$C$11</definedName>
    <definedName name="FebShort">Loans!$D$125</definedName>
    <definedName name="FebTaxes">'Cash Flow'!$C$22</definedName>
    <definedName name="FebTerm">'Cash Flow'!$C$16</definedName>
    <definedName name="FebTotalPays">Loans!$D$128</definedName>
    <definedName name="FebTotEquity">'Balance Sheet'!$D$26</definedName>
    <definedName name="IndustryCurrentRatio">'Balance Sheet'!$O$36</definedName>
    <definedName name="IndustryPBTPercent">'Income Statement'!$F$53</definedName>
    <definedName name="Inventory">Assumptions!$B$16</definedName>
    <definedName name="JanAR">'Cash Flow'!$B$33</definedName>
    <definedName name="JanCOGS">Sales!$B$20</definedName>
    <definedName name="JanCommish">'Operating Expenses'!$B$32</definedName>
    <definedName name="JanDepr">Equipment!$B$15</definedName>
    <definedName name="JanEndingCash">'Cash Flow'!$B$31</definedName>
    <definedName name="JanEqmt">Equipment!$B$13</definedName>
    <definedName name="JanEquity">'Cash Flow'!$B$18</definedName>
    <definedName name="JanFreight">Sales!$B$19</definedName>
    <definedName name="JanIncome">'Income Statement'!$B$43</definedName>
    <definedName name="JanIncomeTax">'Income Statement'!$B$41</definedName>
    <definedName name="JanInt">Loans!$C$127</definedName>
    <definedName name="JanInventory">'Balance Sheet'!$C$10</definedName>
    <definedName name="JanLabor">Sales!$B$16</definedName>
    <definedName name="JanLine1COGS">Sales!$B$31</definedName>
    <definedName name="JanLine1Freight">Sales!$B$49</definedName>
    <definedName name="JanLine1Labor">Sales!$B$43</definedName>
    <definedName name="JanLine1Mat">Sales!$B$37</definedName>
    <definedName name="JanLine1Price">Sales!$B$25</definedName>
    <definedName name="JanLine1Sales">Sales!#REF!</definedName>
    <definedName name="JanLine1Units">Sales!$B$6</definedName>
    <definedName name="JanLine2COGS">Sales!$B$32</definedName>
    <definedName name="JanLine2Freight">Sales!$B$50</definedName>
    <definedName name="JanLine2Labor">Sales!$B$44</definedName>
    <definedName name="JanLine2Mat">Sales!$B$38</definedName>
    <definedName name="JanLine2Price">Sales!$B$26</definedName>
    <definedName name="JanLine2Sales">Sales!#REF!</definedName>
    <definedName name="JanLine2Units">Sales!$B$7</definedName>
    <definedName name="JanLine3COGS">Sales!$B$33</definedName>
    <definedName name="JanLine3Freight">Sales!$B$51</definedName>
    <definedName name="JanLine3Labor">Sales!$B$45</definedName>
    <definedName name="JanLine3Mat">Sales!$B$39</definedName>
    <definedName name="JanLine3Price">Sales!$B$27</definedName>
    <definedName name="JanLine3Sales">Sales!#REF!</definedName>
    <definedName name="JanLine3Units">Sales!$B$8</definedName>
    <definedName name="JanLine4COGS">Sales!$B$34</definedName>
    <definedName name="JanLine4Freight">Sales!$B$52</definedName>
    <definedName name="JanLine4Labor">Sales!$B$46</definedName>
    <definedName name="JanLine4Mat">Sales!$B$40</definedName>
    <definedName name="JanLine4Price">Sales!$B$28</definedName>
    <definedName name="JanLine4Sales">Sales!#REF!</definedName>
    <definedName name="JanLine4Units">Sales!$B$9</definedName>
    <definedName name="JanLine5COGS">Sales!$B$35</definedName>
    <definedName name="JanLine5Freight">Sales!$B$53</definedName>
    <definedName name="JanLine5Labor">Sales!$B$47</definedName>
    <definedName name="JanLine5Mat">Sales!$B$41</definedName>
    <definedName name="JanLine5Price">Sales!$B$29</definedName>
    <definedName name="JanLine5Sales">Sales!#REF!</definedName>
    <definedName name="JanLine5Units">Sales!$B$10</definedName>
    <definedName name="JanLoans">'Cash Flow'!$B$13</definedName>
    <definedName name="JanLong">Loans!$C$124</definedName>
    <definedName name="JanMat">Sales!$B$18</definedName>
    <definedName name="JanNet">Sales!$B$14</definedName>
    <definedName name="JanOE" localSheetId="7">Equipment!#REF!</definedName>
    <definedName name="JanOE">'Operating Expenses'!$B$31</definedName>
    <definedName name="JanOEPRTax">'Operating Expenses'!$B$33</definedName>
    <definedName name="JanPayment">'Cash Flow'!$B$17</definedName>
    <definedName name="JanPrinciple">'Cash Flow'!$B$14</definedName>
    <definedName name="JanPRTax">Sales!$B$17</definedName>
    <definedName name="JanRate">'Cash Flow'!$B$15</definedName>
    <definedName name="JanRevenue">Sales!$B$12</definedName>
    <definedName name="JanSales">Sales!$B$11</definedName>
    <definedName name="JanShort">Loans!$C$125</definedName>
    <definedName name="JanTaxes">'Cash Flow'!$B$22</definedName>
    <definedName name="JanTerm">'Cash Flow'!$B$16</definedName>
    <definedName name="JanTotalPays">Loans!$C$128</definedName>
    <definedName name="JanTotEquity">'Balance Sheet'!$C$26</definedName>
    <definedName name="JulAR">'Cash Flow'!$H$33</definedName>
    <definedName name="JulCOGS">Sales!$H$20</definedName>
    <definedName name="JulCommish">'Operating Expenses'!$H$32</definedName>
    <definedName name="JulDepr">Equipment!$H$15</definedName>
    <definedName name="JulEndingCash">'Cash Flow'!$H$31</definedName>
    <definedName name="JulEqmt">Equipment!$H$13</definedName>
    <definedName name="JulEquity">'Cash Flow'!$H$18</definedName>
    <definedName name="JulFreight">Sales!$H$19</definedName>
    <definedName name="JulIncome">'Income Statement'!$H$43</definedName>
    <definedName name="JulIncomeTax">'Income Statement'!$H$41</definedName>
    <definedName name="JulInt">Loans!$I$127</definedName>
    <definedName name="JulInventory">'Balance Sheet'!$I$10</definedName>
    <definedName name="JulLabor">Sales!$H$16</definedName>
    <definedName name="JulLine1COGS">Sales!$H$31</definedName>
    <definedName name="JulLine1Freight">Sales!$H$49</definedName>
    <definedName name="JulLine1Labor">Sales!$H$43</definedName>
    <definedName name="JulLine1Mat">Sales!$H$37</definedName>
    <definedName name="JulLine1Price">Sales!$H$25</definedName>
    <definedName name="JulLine1Sales">Sales!#REF!</definedName>
    <definedName name="JulLine1Units">Sales!$H$6</definedName>
    <definedName name="JulLine2COGS">Sales!$H$32</definedName>
    <definedName name="JulLine2Freight">Sales!$H$50</definedName>
    <definedName name="JulLine2Labor">Sales!$H$44</definedName>
    <definedName name="JulLine2Mat">Sales!$H$38</definedName>
    <definedName name="JulLine2Price">Sales!$H$26</definedName>
    <definedName name="JulLine2Sales">Sales!#REF!</definedName>
    <definedName name="JulLine2Units">Sales!$H$7</definedName>
    <definedName name="JulLine3COGS">Sales!$H$33</definedName>
    <definedName name="JulLine3Freight">Sales!$H$51</definedName>
    <definedName name="JulLine3Labor">Sales!$H$45</definedName>
    <definedName name="JulLine3Mat">Sales!$H$39</definedName>
    <definedName name="JulLine3Price">Sales!$H$27</definedName>
    <definedName name="JulLine3Sales">Sales!#REF!</definedName>
    <definedName name="JulLine3Units">Sales!$H$8</definedName>
    <definedName name="JulLine4COGS">Sales!$H$34</definedName>
    <definedName name="JulLine4Freight">Sales!$H$52</definedName>
    <definedName name="JulLine4Labor">Sales!$H$46</definedName>
    <definedName name="JulLine4Mat">Sales!$H$40</definedName>
    <definedName name="JulLine4Price">Sales!$H$28</definedName>
    <definedName name="JulLine4Sales">Sales!#REF!</definedName>
    <definedName name="JulLine4Units">Sales!$H$9</definedName>
    <definedName name="JulLine5COGS">Sales!$H$35</definedName>
    <definedName name="JulLine5Freight">Sales!$H$53</definedName>
    <definedName name="JulLine5Labor">Sales!$H$47</definedName>
    <definedName name="JulLine5Mat">Sales!$H$41</definedName>
    <definedName name="JulLine5Price">Sales!$H$29</definedName>
    <definedName name="JulLine5Sales">Sales!#REF!</definedName>
    <definedName name="JulLine5Units">Sales!$H$10</definedName>
    <definedName name="JulLoans">'Cash Flow'!$H$13</definedName>
    <definedName name="JulLong">Loans!$I$124</definedName>
    <definedName name="JulMat">Sales!$H$18</definedName>
    <definedName name="JulNet">Sales!$H$14</definedName>
    <definedName name="JulOE" localSheetId="7">Equipment!#REF!</definedName>
    <definedName name="JulOE">'Operating Expenses'!$H$31</definedName>
    <definedName name="JulOEPRTax">'Operating Expenses'!$H$33</definedName>
    <definedName name="JulPayment">'Cash Flow'!$H$17</definedName>
    <definedName name="JulPrinciple">'Cash Flow'!$H$14</definedName>
    <definedName name="JulPRTax">Sales!$H$17</definedName>
    <definedName name="JulRate">'Cash Flow'!$H$15</definedName>
    <definedName name="JulRevenue">Sales!$H$12</definedName>
    <definedName name="JulSales">Sales!$H$11</definedName>
    <definedName name="JulShort">Loans!$I$125</definedName>
    <definedName name="JulTaxes">'Cash Flow'!$H$22</definedName>
    <definedName name="JulTerm">'Cash Flow'!$H$16</definedName>
    <definedName name="JulTotalPays">Loans!$I$128</definedName>
    <definedName name="JulTotEquity">'Balance Sheet'!$I$26</definedName>
    <definedName name="JunAR">'Cash Flow'!$G$33</definedName>
    <definedName name="JunCOGS">Sales!$G$20</definedName>
    <definedName name="JunCommish">'Operating Expenses'!$G$32</definedName>
    <definedName name="JunDepr">Equipment!$G$15</definedName>
    <definedName name="JunEndingCash">'Cash Flow'!$G$31</definedName>
    <definedName name="JunEqmt">Equipment!$G$13</definedName>
    <definedName name="JunEquity">'Cash Flow'!$G$18</definedName>
    <definedName name="JunFreight">Sales!$G$19</definedName>
    <definedName name="JunIncome">'Income Statement'!$G$43</definedName>
    <definedName name="JunIncomeTax">'Income Statement'!$G$41</definedName>
    <definedName name="JunInt">Loans!$H$127</definedName>
    <definedName name="JunInventory">'Balance Sheet'!$H$10</definedName>
    <definedName name="JunLabor">Sales!$G$16</definedName>
    <definedName name="JunLine1COGS">Sales!$G$31</definedName>
    <definedName name="JunLine1Freight">Sales!$G$49</definedName>
    <definedName name="JunLine1Labor">Sales!$G$43</definedName>
    <definedName name="JunLine1Mat">Sales!$G$37</definedName>
    <definedName name="JunLine1Price">Sales!$G$25</definedName>
    <definedName name="JunLine1Sales">Sales!#REF!</definedName>
    <definedName name="JunLine1Units">Sales!$G$6</definedName>
    <definedName name="JunLine2COGS">Sales!$G$32</definedName>
    <definedName name="JunLine2Freight">Sales!$G$50</definedName>
    <definedName name="JunLine2Labor">Sales!$G$44</definedName>
    <definedName name="JunLine2Mat">Sales!$G$38</definedName>
    <definedName name="JunLine2Price">Sales!$G$26</definedName>
    <definedName name="JunLine2Sales">Sales!#REF!</definedName>
    <definedName name="JunLine2Units">Sales!$G$7</definedName>
    <definedName name="JunLine3COGS">Sales!$G$33</definedName>
    <definedName name="JunLine3Freight">Sales!$G$51</definedName>
    <definedName name="JunLine3Labor">Sales!$G$45</definedName>
    <definedName name="JunLine3Mat">Sales!$G$39</definedName>
    <definedName name="JunLine3Price">Sales!$G$27</definedName>
    <definedName name="JunLine3Sales">Sales!#REF!</definedName>
    <definedName name="JunLine3Units">Sales!$G$8</definedName>
    <definedName name="JunLine4COGS">Sales!$G$34</definedName>
    <definedName name="JunLine4Freight">Sales!$G$52</definedName>
    <definedName name="JunLine4Labor">Sales!$G$46</definedName>
    <definedName name="JunLine4Mat">Sales!$G$40</definedName>
    <definedName name="JunLine4Price">Sales!$G$28</definedName>
    <definedName name="JunLine4Sales">Sales!#REF!</definedName>
    <definedName name="JunLine4Units">Sales!$G$9</definedName>
    <definedName name="JunLine5COGS">Sales!$G$35</definedName>
    <definedName name="JunLine5Freight">Sales!$G$53</definedName>
    <definedName name="JunLine5Labor">Sales!$G$47</definedName>
    <definedName name="JunLine5Mat">Sales!$G$41</definedName>
    <definedName name="JunLine5Price">Sales!$G$29</definedName>
    <definedName name="JunLine5Sales">Sales!#REF!</definedName>
    <definedName name="JunLine5Units">Sales!$G$10</definedName>
    <definedName name="JunLoans">'Cash Flow'!$G$13</definedName>
    <definedName name="JunLong">Loans!$H$124</definedName>
    <definedName name="JunMat">Sales!$G$18</definedName>
    <definedName name="JunNet">Sales!$G$14</definedName>
    <definedName name="JunOE" localSheetId="7">Equipment!#REF!</definedName>
    <definedName name="JunOE">'Operating Expenses'!$G$31</definedName>
    <definedName name="JunOEPRTax">'Operating Expenses'!$G$33</definedName>
    <definedName name="JunPayment">'Cash Flow'!$G$17</definedName>
    <definedName name="JunPrinciple">'Cash Flow'!$G$14</definedName>
    <definedName name="JunPRTax">Sales!$G$17</definedName>
    <definedName name="JunRate">'Cash Flow'!$G$15</definedName>
    <definedName name="JunRevenue">Sales!$G$12</definedName>
    <definedName name="JunSales">Sales!$G$11</definedName>
    <definedName name="JunShort">Loans!$H$125</definedName>
    <definedName name="JunTaxes">'Cash Flow'!$G$22</definedName>
    <definedName name="JunTerm">'Cash Flow'!$G$16</definedName>
    <definedName name="JunTotalPays">Loans!$H$128</definedName>
    <definedName name="JunTotEquity">'Balance Sheet'!$H$26</definedName>
    <definedName name="LastQuarterFixedAssets">'Balance Sheet'!$K$13</definedName>
    <definedName name="LastYear">Overview!#REF!</definedName>
    <definedName name="LastYearCOGS">#REF!</definedName>
    <definedName name="LastYearLine1COGS">#REF!</definedName>
    <definedName name="LastYearLine1Sales">Sales!#REF!</definedName>
    <definedName name="LastYearLine2COGS">#REF!</definedName>
    <definedName name="LastYearLine2Sales">Sales!#REF!</definedName>
    <definedName name="LastYearLine3COGS">#REF!</definedName>
    <definedName name="LastYearLine3Sales">Sales!#REF!</definedName>
    <definedName name="LastYearLine4COGS">#REF!</definedName>
    <definedName name="LastYearLine4Sales">Sales!#REF!</definedName>
    <definedName name="LastYearLine5COGS">#REF!</definedName>
    <definedName name="LastYearLine5Sales">Sales!#REF!</definedName>
    <definedName name="LastYearOE" localSheetId="7">Equipment!#REF!</definedName>
    <definedName name="LastYearOE">'Operating Expenses'!#REF!</definedName>
    <definedName name="LastYearSales">Sales!#REF!</definedName>
    <definedName name="Line1COGS">Assumptions!#REF!</definedName>
    <definedName name="Line1Freight">Assumptions!#REF!</definedName>
    <definedName name="Line1GrossProfit">Assumptions!#REF!</definedName>
    <definedName name="Line1HighCOGS">Products!$B$37</definedName>
    <definedName name="Line1HighFreight">Products!$B$36</definedName>
    <definedName name="Line1HighLabor">Products!$B$33</definedName>
    <definedName name="Line1HighMat">Products!$B$35</definedName>
    <definedName name="Line1HighPrice">Products!$B$31</definedName>
    <definedName name="Line1Labor">Assumptions!#REF!</definedName>
    <definedName name="Line1Low">Products!$B$17</definedName>
    <definedName name="Line1LowCOGS">Products!$B$15</definedName>
    <definedName name="Line1LowFreight">Products!$B$14</definedName>
    <definedName name="Line1LowLabor">Products!$B$11</definedName>
    <definedName name="Line1LowMat">Products!$B$13</definedName>
    <definedName name="Line1LowPrice">Products!$B$9</definedName>
    <definedName name="Line1Materials">Assumptions!#REF!</definedName>
    <definedName name="Line1Med">Products!$B$28</definedName>
    <definedName name="Line1MedCOGS">Products!$B$26</definedName>
    <definedName name="Line1MedFreight">Products!$B$25</definedName>
    <definedName name="Line1MedLabor">Products!$B$22</definedName>
    <definedName name="Line1MedMat">Products!$B$24</definedName>
    <definedName name="Line1MedPrice">Products!$B$20</definedName>
    <definedName name="Line1Name">Products!$B$6</definedName>
    <definedName name="Line2COGS">Assumptions!#REF!</definedName>
    <definedName name="Line2Freight">Assumptions!#REF!</definedName>
    <definedName name="Line2GrossProfit">Assumptions!#REF!</definedName>
    <definedName name="Line2HighCOGS">Products!$C$37</definedName>
    <definedName name="Line2HighFreight">Products!$C$36</definedName>
    <definedName name="Line2HighLabor">Products!$C$33</definedName>
    <definedName name="Line2HighMat">Products!$C$35</definedName>
    <definedName name="Line2HighPrice">Products!$C$31</definedName>
    <definedName name="Line2Labor">Assumptions!#REF!</definedName>
    <definedName name="Line2Low">Products!$C$17</definedName>
    <definedName name="Line2LowCOGS">Products!$C$15</definedName>
    <definedName name="Line2LowFreight">Products!$C$14</definedName>
    <definedName name="Line2LowLabor">Products!$C$11</definedName>
    <definedName name="Line2LowMat">Products!$C$13</definedName>
    <definedName name="Line2LowPrice">Products!$C$9</definedName>
    <definedName name="Line2Materials">Assumptions!#REF!</definedName>
    <definedName name="Line2Med">Products!$C$28</definedName>
    <definedName name="Line2MedCOGS">Products!$C$26</definedName>
    <definedName name="Line2MedFreight">Products!$C$25</definedName>
    <definedName name="Line2MedLabor">Products!$C$22</definedName>
    <definedName name="Line2MedMat">Products!$C$24</definedName>
    <definedName name="Line2MedPrice">Products!$C$20</definedName>
    <definedName name="Line2Name">Products!$C$6</definedName>
    <definedName name="Line2Price">Assumptions!#REF!</definedName>
    <definedName name="Line3COGS">Assumptions!#REF!</definedName>
    <definedName name="Line3Freight">Assumptions!#REF!</definedName>
    <definedName name="Line3GrossProfit">Assumptions!#REF!</definedName>
    <definedName name="Line3HighCOGS">Products!$D$37</definedName>
    <definedName name="Line3HighFreight">Products!$D$36</definedName>
    <definedName name="Line3HighLabor">Products!$D$33</definedName>
    <definedName name="Line3HighMat">Products!$D$35</definedName>
    <definedName name="Line3HighPrice">Products!$D$31</definedName>
    <definedName name="Line3Labor">Assumptions!#REF!</definedName>
    <definedName name="Line3Low">Products!$D$17</definedName>
    <definedName name="Line3LowCOGS">Products!$D$15</definedName>
    <definedName name="Line3LowFreight">Products!$D$14</definedName>
    <definedName name="Line3LowLabor">Products!$D$11</definedName>
    <definedName name="Line3LowMat">Products!$D$13</definedName>
    <definedName name="Line3LowPrice">Products!$D$9</definedName>
    <definedName name="Line3Materials">Assumptions!#REF!</definedName>
    <definedName name="Line3Med">Products!$D$28</definedName>
    <definedName name="Line3MedCOGS">Products!$D$26</definedName>
    <definedName name="Line3MedFreight">Products!$D$25</definedName>
    <definedName name="Line3MedLabor">Products!$D$22</definedName>
    <definedName name="Line3MedMat">Products!$D$24</definedName>
    <definedName name="Line3MedPrice">Products!$D$20</definedName>
    <definedName name="Line3Name">Products!$D$6</definedName>
    <definedName name="Line3Price">Assumptions!#REF!</definedName>
    <definedName name="Line4COGS">Assumptions!#REF!</definedName>
    <definedName name="Line4Freight">Assumptions!#REF!</definedName>
    <definedName name="Line4GrossProfit">Assumptions!#REF!</definedName>
    <definedName name="Line4HighCOGS">Products!$E$37</definedName>
    <definedName name="Line4HighFreight">Products!$E$36</definedName>
    <definedName name="Line4HighLabor">Products!$E$33</definedName>
    <definedName name="Line4HighMat">Products!$E$35</definedName>
    <definedName name="Line4HighPrice">Products!$E$31</definedName>
    <definedName name="Line4Labor">Assumptions!#REF!</definedName>
    <definedName name="Line4Low">Products!$E$17</definedName>
    <definedName name="Line4LowCOGS">Products!$E$15</definedName>
    <definedName name="Line4LowFreight">Products!$E$14</definedName>
    <definedName name="Line4LowLabor">Products!$E$11</definedName>
    <definedName name="Line4LowMat">Products!$E$13</definedName>
    <definedName name="Line4LowPrice">Products!$E$9</definedName>
    <definedName name="Line4Materials">Assumptions!#REF!</definedName>
    <definedName name="Line4Med">Products!$E$28</definedName>
    <definedName name="Line4MedCOGS">Products!$E$26</definedName>
    <definedName name="Line4MedFreight">Products!$E$25</definedName>
    <definedName name="Line4MedLabor">Products!$E$22</definedName>
    <definedName name="Line4MedMat">Products!$E$24</definedName>
    <definedName name="Line4MedPrice">Products!$E$20</definedName>
    <definedName name="Line4Name">Products!$E$6</definedName>
    <definedName name="Line4Price">Assumptions!#REF!</definedName>
    <definedName name="Line5COGS">Assumptions!#REF!</definedName>
    <definedName name="Line5Freight">Assumptions!#REF!</definedName>
    <definedName name="Line5GrossProfit">Assumptions!#REF!</definedName>
    <definedName name="Line5HighCOGS">Products!$F$37</definedName>
    <definedName name="Line5HighFreight">Products!$F$36</definedName>
    <definedName name="Line5HighLabor">Products!$F$33</definedName>
    <definedName name="Line5HighMat">Products!$F$35</definedName>
    <definedName name="Line5HighPrice">Products!$F$31</definedName>
    <definedName name="Line5Labor">Assumptions!#REF!</definedName>
    <definedName name="Line5Low">Products!$F$17</definedName>
    <definedName name="Line5LowCOGS">Products!$F$15</definedName>
    <definedName name="Line5LowFreight">Products!$F$14</definedName>
    <definedName name="Line5LowLabor">Products!$F$11</definedName>
    <definedName name="Line5LowMat">Products!$F$13</definedName>
    <definedName name="Line5LowPrice">Products!$F$9</definedName>
    <definedName name="Line5Materials">Assumptions!#REF!</definedName>
    <definedName name="Line5Med">Products!$F$28</definedName>
    <definedName name="Line5MedCOGS">Products!$F$26</definedName>
    <definedName name="Line5MedFreight">Products!$F$25</definedName>
    <definedName name="Line5MedLabor">Products!$F$22</definedName>
    <definedName name="Line5MedMat">Products!$F$24</definedName>
    <definedName name="Line5MedPrice">Products!$F$20</definedName>
    <definedName name="Line5Name">Products!$F$6</definedName>
    <definedName name="Line5Price">Assumptions!#REF!</definedName>
    <definedName name="LoanRate">Loans!$B$7</definedName>
    <definedName name="LoanValue">Loans!$B$4</definedName>
    <definedName name="MarAR">'Cash Flow'!$D$33</definedName>
    <definedName name="MarCOGS">Sales!$D$20</definedName>
    <definedName name="MarCommish">'Operating Expenses'!$D$32</definedName>
    <definedName name="MarDepr">Equipment!$D$15</definedName>
    <definedName name="MarEndingCash">'Cash Flow'!$D$31</definedName>
    <definedName name="MarEqmt">Equipment!$D$13</definedName>
    <definedName name="MarEquity">'Cash Flow'!$D$18</definedName>
    <definedName name="MarFreight">Sales!$D$19</definedName>
    <definedName name="MarIncome">'Income Statement'!$D$43</definedName>
    <definedName name="MarIncomeTax">'Income Statement'!$D$41</definedName>
    <definedName name="MarInt">Loans!$E$127</definedName>
    <definedName name="MarInventory">'Balance Sheet'!$E$10</definedName>
    <definedName name="MarLabor">Sales!$D$16</definedName>
    <definedName name="MarLine1COGS">Sales!$D$31</definedName>
    <definedName name="MarLine1Freight">Sales!$D$49</definedName>
    <definedName name="MarLine1Labor">Sales!$D$43</definedName>
    <definedName name="MarLine1Mat">Sales!$D$37</definedName>
    <definedName name="MarLine1Price">Sales!$D$25</definedName>
    <definedName name="MarLine1Sales">Sales!#REF!</definedName>
    <definedName name="MarLine1Units">Sales!$D$6</definedName>
    <definedName name="MarLine2COGS">Sales!$D$32</definedName>
    <definedName name="MarLine2Freight">Sales!$D$50</definedName>
    <definedName name="MarLine2Labor">Sales!$D$44</definedName>
    <definedName name="MarLine2Mat">Sales!$D$38</definedName>
    <definedName name="MarLine2Price">Sales!$D$26</definedName>
    <definedName name="MarLine2Sales">Sales!#REF!</definedName>
    <definedName name="MarLine2Units">Sales!$D$7</definedName>
    <definedName name="MarLine3COGS">Sales!$D$33</definedName>
    <definedName name="MarLine3Freight">Sales!$D$51</definedName>
    <definedName name="MarLine3Labor">Sales!$D$45</definedName>
    <definedName name="MarLine3Mat">Sales!$D$39</definedName>
    <definedName name="MarLine3Price">Sales!$D$27</definedName>
    <definedName name="MarLine3Sales">Sales!#REF!</definedName>
    <definedName name="MarLine3Units">Sales!$D$8</definedName>
    <definedName name="MarLine4COGS">Sales!$D$34</definedName>
    <definedName name="MarLine4Freight">Sales!$D$52</definedName>
    <definedName name="MarLine4Labor">Sales!$D$46</definedName>
    <definedName name="MarLine4Mat">Sales!$D$40</definedName>
    <definedName name="MarLine4Price">Sales!$D$28</definedName>
    <definedName name="MarLine4Sales">Sales!#REF!</definedName>
    <definedName name="MarLine4Units">Sales!$D$9</definedName>
    <definedName name="MarLine5COGS">Sales!$D$35</definedName>
    <definedName name="MarLine5Freight">Sales!$D$53</definedName>
    <definedName name="MarLine5Labor">Sales!$D$47</definedName>
    <definedName name="MarLine5Mat">Sales!$D$41</definedName>
    <definedName name="MarLine5Price">Sales!$D$29</definedName>
    <definedName name="MarLine5Sales">Sales!#REF!</definedName>
    <definedName name="MarLine5Units">Sales!$D$10</definedName>
    <definedName name="MarLoans">'Cash Flow'!$D$13</definedName>
    <definedName name="MarLong">Loans!$E$124</definedName>
    <definedName name="MarMat">Sales!$D$18</definedName>
    <definedName name="MarNet">Sales!$D$14</definedName>
    <definedName name="MarOE" localSheetId="7">Equipment!#REF!</definedName>
    <definedName name="MarOE">'Operating Expenses'!$D$31</definedName>
    <definedName name="MarOEPRTax">'Operating Expenses'!$D$33</definedName>
    <definedName name="MarPayment">'Cash Flow'!$D$17</definedName>
    <definedName name="MarPrinciple">'Cash Flow'!$D$14</definedName>
    <definedName name="MarPRTax">Sales!$D$17</definedName>
    <definedName name="MarRate">'Cash Flow'!$D$15</definedName>
    <definedName name="MarRevenue">Sales!$D$12</definedName>
    <definedName name="MarSales">Sales!$D$11</definedName>
    <definedName name="MarShort">Loans!$E$125</definedName>
    <definedName name="MarTaxes">'Cash Flow'!$D$22</definedName>
    <definedName name="MarTerm">'Cash Flow'!$D$16</definedName>
    <definedName name="MarTotalPays">Loans!$E$128</definedName>
    <definedName name="MarTotEquity">'Balance Sheet'!$E$26</definedName>
    <definedName name="MayAR">'Cash Flow'!$F$33</definedName>
    <definedName name="MayCOGS">Sales!$F$20</definedName>
    <definedName name="MayCommish">'Operating Expenses'!$F$32</definedName>
    <definedName name="MayDepr">Equipment!$F$15</definedName>
    <definedName name="MayEndingCash">'Cash Flow'!$F$31</definedName>
    <definedName name="MayEqmt">Equipment!$F$13</definedName>
    <definedName name="MayEquity">'Cash Flow'!$F$18</definedName>
    <definedName name="MayFreight">Sales!$F$19</definedName>
    <definedName name="MayIncome">'Income Statement'!$F$43</definedName>
    <definedName name="MayIncomeTax">'Income Statement'!$F$41</definedName>
    <definedName name="MayInt">Loans!$G$127</definedName>
    <definedName name="MayInventory">'Balance Sheet'!$G$10</definedName>
    <definedName name="MayLabor">Sales!$F$16</definedName>
    <definedName name="MayLine1COGS">Sales!$F$31</definedName>
    <definedName name="MayLine1Freight">Sales!$F$49</definedName>
    <definedName name="MayLine1Labor">Sales!$F$43</definedName>
    <definedName name="MayLine1Mat">Sales!$F$37</definedName>
    <definedName name="MayLine1Price">Sales!$F$25</definedName>
    <definedName name="MayLine1Sales">Sales!#REF!</definedName>
    <definedName name="MayLine1Units">Sales!$F$6</definedName>
    <definedName name="MayLine2COGS">Sales!$F$32</definedName>
    <definedName name="MayLine2Freight">Sales!$F$50</definedName>
    <definedName name="MayLine2Labor">Sales!$F$44</definedName>
    <definedName name="MayLine2Mat">Sales!$F$38</definedName>
    <definedName name="MayLine2Price">Sales!$F$26</definedName>
    <definedName name="MayLine2Sales">Sales!#REF!</definedName>
    <definedName name="MayLine2Units">Sales!$F$7</definedName>
    <definedName name="MayLine3COGS">Sales!$F$33</definedName>
    <definedName name="MayLine3Freight">Sales!$F$51</definedName>
    <definedName name="MayLine3Labor">Sales!$F$45</definedName>
    <definedName name="MayLine3Mat">Sales!$F$39</definedName>
    <definedName name="MayLine3Price">Sales!$F$27</definedName>
    <definedName name="MayLine3Sales">Sales!#REF!</definedName>
    <definedName name="MayLine3Units">Sales!$F$8</definedName>
    <definedName name="MayLine4COGS">Sales!$F$34</definedName>
    <definedName name="MayLine4Freight">Sales!$F$52</definedName>
    <definedName name="MayLine4Labor">Sales!$F$46</definedName>
    <definedName name="MayLine4Mat">Sales!$F$40</definedName>
    <definedName name="MayLine4Price">Sales!$F$28</definedName>
    <definedName name="MayLine4Sales">Sales!#REF!</definedName>
    <definedName name="MayLine4Units">Sales!$F$9</definedName>
    <definedName name="MayLine5COGS">Sales!$F$35</definedName>
    <definedName name="MayLine5Freight">Sales!$F$53</definedName>
    <definedName name="MayLine5Labor">Sales!$F$47</definedName>
    <definedName name="MayLine5Mat">Sales!$F$41</definedName>
    <definedName name="MayLine5Price">Sales!$F$29</definedName>
    <definedName name="MayLine5Sales">Sales!#REF!</definedName>
    <definedName name="MayLine5Units">Sales!$F$10</definedName>
    <definedName name="MayLoans">'Cash Flow'!$F$13</definedName>
    <definedName name="MayLong">Loans!$G$124</definedName>
    <definedName name="MayMat">Sales!$F$18</definedName>
    <definedName name="MayNet">Sales!$F$14</definedName>
    <definedName name="MayOE" localSheetId="7">Equipment!#REF!</definedName>
    <definedName name="MayOE">'Operating Expenses'!$F$31</definedName>
    <definedName name="MayOEPRTax">'Operating Expenses'!$F$33</definedName>
    <definedName name="MayPayment">'Cash Flow'!$F$17</definedName>
    <definedName name="MayPrinciple">'Cash Flow'!$F$14</definedName>
    <definedName name="MayPRTax">Sales!$F$17</definedName>
    <definedName name="MayRate">'Cash Flow'!$F$15</definedName>
    <definedName name="MayRevenue">Sales!$F$12</definedName>
    <definedName name="MaySales">Sales!$F$11</definedName>
    <definedName name="MayShort">Loans!$G$125</definedName>
    <definedName name="MayTaxes">'Cash Flow'!$F$22</definedName>
    <definedName name="MayTerm">'Cash Flow'!$F$16</definedName>
    <definedName name="MayTotalPays">Loans!$G$128</definedName>
    <definedName name="MayTotEquity">'Balance Sheet'!$G$26</definedName>
    <definedName name="MLCOGS">#REF!</definedName>
    <definedName name="MLCurrentAssets">#REF!</definedName>
    <definedName name="MLGross">#REF!</definedName>
    <definedName name="MLOE">#REF!</definedName>
    <definedName name="MLOther">#REF!</definedName>
    <definedName name="MLRetained">#REF!</definedName>
    <definedName name="MLSales">#REF!</definedName>
    <definedName name="Month1">Overview!$N$5</definedName>
    <definedName name="Month10">Overview!$N$14</definedName>
    <definedName name="Month11">Overview!$N$15</definedName>
    <definedName name="Month12">Overview!$N$16</definedName>
    <definedName name="Month2">Overview!$N$6</definedName>
    <definedName name="Month3">Overview!$N$7</definedName>
    <definedName name="Month4">Overview!$N$8</definedName>
    <definedName name="Month5">Overview!$N$9</definedName>
    <definedName name="Month6">Overview!$N$10</definedName>
    <definedName name="Month7">Overview!$N$11</definedName>
    <definedName name="Month8">Overview!$N$12</definedName>
    <definedName name="Month9">Overview!$N$13</definedName>
    <definedName name="NovAR">'Cash Flow'!$L$33</definedName>
    <definedName name="NovCOGS">Sales!$L$20</definedName>
    <definedName name="NovCommish">'Operating Expenses'!$L$32</definedName>
    <definedName name="NovDepr">Equipment!$L$15</definedName>
    <definedName name="NovEndingCash">'Cash Flow'!$L$31</definedName>
    <definedName name="NovEqmt">Equipment!$L$13</definedName>
    <definedName name="NovEquity">'Cash Flow'!$L$18</definedName>
    <definedName name="NovFreight">Sales!$L$19</definedName>
    <definedName name="NovIncome">'Income Statement'!$L$43</definedName>
    <definedName name="NovIncomeTax">'Income Statement'!$L$41</definedName>
    <definedName name="NovInt">Loans!$M$127</definedName>
    <definedName name="NovInventory">'Balance Sheet'!$M$10</definedName>
    <definedName name="NovLabor">Sales!$L$16</definedName>
    <definedName name="NovLine1COGS">Sales!$L$31</definedName>
    <definedName name="NovLine1Freight">Sales!$L$49</definedName>
    <definedName name="NovLine1Labor">Sales!$L$43</definedName>
    <definedName name="NovLine1Mat">Sales!$L$37</definedName>
    <definedName name="NovLine1Price">Sales!$L$25</definedName>
    <definedName name="NovLine1Sales">Sales!#REF!</definedName>
    <definedName name="NovLine1Units">Sales!$L$6</definedName>
    <definedName name="NovLine2COGS">Sales!$L$32</definedName>
    <definedName name="NovLine2Freight">Sales!$L$50</definedName>
    <definedName name="NovLine2Labor">Sales!$L$44</definedName>
    <definedName name="NovLine2Mat">Sales!$L$38</definedName>
    <definedName name="NovLine2Price">Sales!$L$26</definedName>
    <definedName name="NovLine2Sales">Sales!#REF!</definedName>
    <definedName name="NovLine2Units">Sales!$L$7</definedName>
    <definedName name="NovLine3COGS">Sales!$L$33</definedName>
    <definedName name="NovLine3Freight">Sales!$L$51</definedName>
    <definedName name="NovLine3Labor">Sales!$L$45</definedName>
    <definedName name="NovLine3Mat">Sales!$L$39</definedName>
    <definedName name="NovLine3Price">Sales!$L$27</definedName>
    <definedName name="NovLine3Sales">Sales!#REF!</definedName>
    <definedName name="NovLine3Units">Sales!$L$8</definedName>
    <definedName name="NovLine4COGS">Sales!$L$34</definedName>
    <definedName name="NovLine4Freight">Sales!$L$52</definedName>
    <definedName name="NovLine4Labor">Sales!$L$46</definedName>
    <definedName name="NovLine4Mat">Sales!$L$40</definedName>
    <definedName name="NovLine4Price">Sales!$L$28</definedName>
    <definedName name="NovLine4Sales">Sales!#REF!</definedName>
    <definedName name="NovLine4Units">Sales!$L$9</definedName>
    <definedName name="NovLine5COGS">Sales!$L$35</definedName>
    <definedName name="NovLine5Freight">Sales!$L$53</definedName>
    <definedName name="NovLine5Labor">Sales!$L$47</definedName>
    <definedName name="NovLine5Mat">Sales!$L$41</definedName>
    <definedName name="NovLine5Price">Sales!$L$29</definedName>
    <definedName name="NovLine5Sales">Sales!#REF!</definedName>
    <definedName name="NovLine5Units">Sales!$L$10</definedName>
    <definedName name="NovLoans">'Cash Flow'!$L$13</definedName>
    <definedName name="NovLong">Loans!$M$124</definedName>
    <definedName name="NovMat">Sales!$L$18</definedName>
    <definedName name="NovNet">Sales!$L$14</definedName>
    <definedName name="NovOE" localSheetId="7">Equipment!#REF!</definedName>
    <definedName name="NovOE">'Operating Expenses'!$L$31</definedName>
    <definedName name="NovOEPRTax">'Operating Expenses'!$L$33</definedName>
    <definedName name="NovPayment">'Cash Flow'!$L$17</definedName>
    <definedName name="NovPrinciple">'Cash Flow'!$L$14</definedName>
    <definedName name="NovPRTax">Sales!$L$17</definedName>
    <definedName name="NovRate">'Cash Flow'!$L$15</definedName>
    <definedName name="NovRevenue">Sales!$L$12</definedName>
    <definedName name="NovSales">Sales!$L$11</definedName>
    <definedName name="NovShort">Loans!$M$125</definedName>
    <definedName name="NovTaxes">'Cash Flow'!$L$22</definedName>
    <definedName name="NovTerm">'Cash Flow'!$L$16</definedName>
    <definedName name="NovTotalPays">Loans!$M$128</definedName>
    <definedName name="NovTotEquity">'Balance Sheet'!$M$26</definedName>
    <definedName name="OctAR">'Cash Flow'!$K$33</definedName>
    <definedName name="OctCOGS">Sales!$K$20</definedName>
    <definedName name="OctCommish">'Operating Expenses'!$K$32</definedName>
    <definedName name="OctDepr">Equipment!$K$15</definedName>
    <definedName name="OctEndingCash">'Cash Flow'!$K$31</definedName>
    <definedName name="OctEqmt">Equipment!$K$13</definedName>
    <definedName name="OctEquity">'Cash Flow'!$K$18</definedName>
    <definedName name="OctFreight">Sales!$K$19</definedName>
    <definedName name="OctIncome">'Income Statement'!$K$43</definedName>
    <definedName name="OctIncomeTax">'Income Statement'!$K$41</definedName>
    <definedName name="OctInt">Loans!$L$127</definedName>
    <definedName name="OctInventory">'Balance Sheet'!$L$10</definedName>
    <definedName name="OctLabor">Sales!$K$16</definedName>
    <definedName name="OctLine1COGS">Sales!$K$31</definedName>
    <definedName name="OctLine1Freight">Sales!$K$49</definedName>
    <definedName name="OctLine1Labor">Sales!$K$43</definedName>
    <definedName name="OctLine1Mat">Sales!$K$37</definedName>
    <definedName name="OctLine1Price">Sales!$K$25</definedName>
    <definedName name="OctLine1Sales">Sales!#REF!</definedName>
    <definedName name="OctLine1Units">Sales!$K$6</definedName>
    <definedName name="OctLine2COGS">Sales!$K$32</definedName>
    <definedName name="OctLine2Freight">Sales!$K$50</definedName>
    <definedName name="OctLine2Labor">Sales!$K$44</definedName>
    <definedName name="OctLine2Mat">Sales!$K$38</definedName>
    <definedName name="OctLine2Price">Sales!$K$26</definedName>
    <definedName name="OctLine2Sales">Sales!#REF!</definedName>
    <definedName name="OctLine2Units">Sales!$K$7</definedName>
    <definedName name="OctLine3COGS">Sales!$K$33</definedName>
    <definedName name="OctLine3Freight">Sales!$K$51</definedName>
    <definedName name="OctLine3Labor">Sales!$K$45</definedName>
    <definedName name="OctLine3Mat">Sales!$K$39</definedName>
    <definedName name="OctLine3Price">Sales!$K$27</definedName>
    <definedName name="OctLine3Sales">Sales!#REF!</definedName>
    <definedName name="OctLine3Units">Sales!$K$8</definedName>
    <definedName name="OctLine4COGS">Sales!$K$34</definedName>
    <definedName name="OctLine4Freight">Sales!$K$52</definedName>
    <definedName name="OctLine4Labor">Sales!$K$46</definedName>
    <definedName name="OctLine4Mat">Sales!$K$40</definedName>
    <definedName name="OctLine4Price">Sales!$K$28</definedName>
    <definedName name="OctLine4Sales">Sales!#REF!</definedName>
    <definedName name="OctLine4Units">Sales!$K$9</definedName>
    <definedName name="OctLine5COGS">Sales!$K$35</definedName>
    <definedName name="OctLine5Freight">Sales!$K$53</definedName>
    <definedName name="OctLine5Labor">Sales!$K$47</definedName>
    <definedName name="OctLine5Mat">Sales!$K$41</definedName>
    <definedName name="OctLine5Price">Sales!$K$29</definedName>
    <definedName name="OctLine5Sales">Sales!#REF!</definedName>
    <definedName name="OctLine5Units">Sales!$K$10</definedName>
    <definedName name="OctLoans">'Cash Flow'!$K$13</definedName>
    <definedName name="OctLong">Loans!$L$124</definedName>
    <definedName name="OctMat">Sales!$K$18</definedName>
    <definedName name="OctNet">Sales!$K$14</definedName>
    <definedName name="OctOE" localSheetId="7">Equipment!#REF!</definedName>
    <definedName name="OctOE">'Operating Expenses'!$K$31</definedName>
    <definedName name="OctOEPRTax">'Operating Expenses'!$K$33</definedName>
    <definedName name="OctPayment">'Cash Flow'!$K$17</definedName>
    <definedName name="OctPrinciple">'Cash Flow'!$K$14</definedName>
    <definedName name="OctPRTax">Sales!$K$17</definedName>
    <definedName name="OctRate">'Cash Flow'!$K$15</definedName>
    <definedName name="OctRevenue">Sales!$K$12</definedName>
    <definedName name="OctSales">Sales!$K$11</definedName>
    <definedName name="OctShort">Loans!$L$125</definedName>
    <definedName name="OctTaxes">'Cash Flow'!$K$22</definedName>
    <definedName name="OctTerm">'Cash Flow'!$K$16</definedName>
    <definedName name="OctTotalPays">Loans!$L$128</definedName>
    <definedName name="OctTotEquity">'Balance Sheet'!$L$26</definedName>
    <definedName name="Period1AR">'Balance Sheet'!$C$9</definedName>
    <definedName name="Period1Cash">'Balance Sheet'!$C$8</definedName>
    <definedName name="Period1COGS">'Income Statement'!$B$33</definedName>
    <definedName name="Period1CurrentAssets">'Balance Sheet'!$C$11</definedName>
    <definedName name="Period1CurrentLiabilities">'Balance Sheet'!$C$21</definedName>
    <definedName name="Period1CurrentRatio">'Balance Sheet'!$C$36</definedName>
    <definedName name="Period1EndInventory">'Income Statement'!#REF!</definedName>
    <definedName name="Period1FixedAssets">'Balance Sheet'!$C$12</definedName>
    <definedName name="Period1Gross">'Income Statement'!$B$34</definedName>
    <definedName name="Period1Interest">'Income Statement'!$B$39</definedName>
    <definedName name="Period1OE">'Income Statement'!$B$36</definedName>
    <definedName name="Period1OtherAssets">'Balance Sheet'!#REF!</definedName>
    <definedName name="Period1PBT">'Income Statement'!$B$40</definedName>
    <definedName name="Period1PBTPercent">'Income Statement'!$B$53</definedName>
    <definedName name="Period1RetainedEarnings">'Balance Sheet'!$C$25</definedName>
    <definedName name="Period1Sales">'Income Statement'!$B$32</definedName>
    <definedName name="Period1SalesToInv">'Balance Sheet'!$C$40</definedName>
    <definedName name="Period1SalesToRec">'Balance Sheet'!$C$39</definedName>
    <definedName name="Period1Stock">'Balance Sheet'!$C$24</definedName>
    <definedName name="Period1TotalAssets">'Balance Sheet'!$C$14</definedName>
    <definedName name="Period1TotalDE">'Balance Sheet'!$C$28</definedName>
    <definedName name="Period2AR">'Balance Sheet'!$D$9</definedName>
    <definedName name="Period2Cash">'Balance Sheet'!$D$8</definedName>
    <definedName name="Period2COGS">'Income Statement'!$C$33</definedName>
    <definedName name="Period2CurrentAssets">'Balance Sheet'!$D$11</definedName>
    <definedName name="Period2CurrentLiabilities">'Balance Sheet'!$D$21</definedName>
    <definedName name="Period2CurrentRatio">'Balance Sheet'!$D$36</definedName>
    <definedName name="Period2EndInventory">'Income Statement'!#REF!</definedName>
    <definedName name="Period2FixedAssets">'Balance Sheet'!$D$12</definedName>
    <definedName name="Period2Gross">'Income Statement'!$C$34</definedName>
    <definedName name="Period2Interest">'Income Statement'!$C$39</definedName>
    <definedName name="Period2OE">'Income Statement'!$C$36</definedName>
    <definedName name="Period2OtherAssets">'Balance Sheet'!#REF!</definedName>
    <definedName name="Period2PBT">'Income Statement'!$C$40</definedName>
    <definedName name="Period2PBTPercent">'Income Statement'!$C$53</definedName>
    <definedName name="Period2RetainedEarnings">'Balance Sheet'!$D$25</definedName>
    <definedName name="Period2Sales">'Income Statement'!$C$32</definedName>
    <definedName name="Period2SalesToInv">'Balance Sheet'!$D$40</definedName>
    <definedName name="Period2SalesToRec">'Balance Sheet'!$D$39</definedName>
    <definedName name="Period2Stock">'Balance Sheet'!$D$24</definedName>
    <definedName name="Period2TotalAssets">'Balance Sheet'!$D$14</definedName>
    <definedName name="Period2TotalDE">'Balance Sheet'!$D$28</definedName>
    <definedName name="Period3AR">'Balance Sheet'!$E$9</definedName>
    <definedName name="Period3Cash">'Balance Sheet'!$E$8</definedName>
    <definedName name="Period3COGS">'Income Statement'!$D$33</definedName>
    <definedName name="Period3CurrentAssets">'Balance Sheet'!$E$11</definedName>
    <definedName name="Period3CurrentLiabilities">'Balance Sheet'!$E$21</definedName>
    <definedName name="Period3CurrentRatio">'Balance Sheet'!$E$36</definedName>
    <definedName name="Period3EndInventory">'Income Statement'!#REF!</definedName>
    <definedName name="Period3FixedAssets">'Balance Sheet'!$E$12</definedName>
    <definedName name="Period3Gross">'Income Statement'!$D$34</definedName>
    <definedName name="Period3Interest">'Income Statement'!$D$39</definedName>
    <definedName name="Period3OE">'Income Statement'!$D$36</definedName>
    <definedName name="Period3OtherAssets">'Balance Sheet'!#REF!</definedName>
    <definedName name="Period3PBT">'Income Statement'!$D$40</definedName>
    <definedName name="Period3PBTPercent">'Income Statement'!$D$53</definedName>
    <definedName name="Period3RetainedEarnings">'Balance Sheet'!$E$25</definedName>
    <definedName name="Period3Sales">'Income Statement'!$D$32</definedName>
    <definedName name="Period3SalesToInv">'Balance Sheet'!$E$40</definedName>
    <definedName name="Period3SalesToRec">'Balance Sheet'!$E$39</definedName>
    <definedName name="Period3Stock">'Balance Sheet'!$E$24</definedName>
    <definedName name="Period3TotalAssets">'Balance Sheet'!$E$14</definedName>
    <definedName name="Period3TotalDE">'Balance Sheet'!$E$28</definedName>
    <definedName name="Period4AR">'Balance Sheet'!$F$9</definedName>
    <definedName name="Period4Cash">'Balance Sheet'!$F$8</definedName>
    <definedName name="Period4COGS">'Income Statement'!$E$33</definedName>
    <definedName name="Period4CurrentAssets">'Balance Sheet'!$F$11</definedName>
    <definedName name="Period4CurrentLiabilities">'Balance Sheet'!$F$21</definedName>
    <definedName name="Period4CurrentRatio">'Balance Sheet'!$F$36</definedName>
    <definedName name="Period4FixedAssets">'Balance Sheet'!$F$12</definedName>
    <definedName name="Period4Gross">'Income Statement'!$E$34</definedName>
    <definedName name="Period4Interest">'Income Statement'!$E$39</definedName>
    <definedName name="Period4OE">'Income Statement'!$E$36</definedName>
    <definedName name="Period4OtherAssets">'Balance Sheet'!#REF!</definedName>
    <definedName name="Period4PBT">'Income Statement'!$E$40</definedName>
    <definedName name="Period4PBTPercent">'Income Statement'!$E$53</definedName>
    <definedName name="Period4RetainedEarnings">'Balance Sheet'!$F$25</definedName>
    <definedName name="Period4Sales">'Income Statement'!$E$32</definedName>
    <definedName name="Period4SalesToInv">'Balance Sheet'!$F$40</definedName>
    <definedName name="Period4SalesToRec">'Balance Sheet'!$F$39</definedName>
    <definedName name="Period4Stock">'Balance Sheet'!$F$24</definedName>
    <definedName name="Period4TotalAssets">'Balance Sheet'!$F$14</definedName>
    <definedName name="Period4TotalDE">'Balance Sheet'!$F$28</definedName>
    <definedName name="PreviousAccruedPayable">Assumptions!$B$28</definedName>
    <definedName name="PreviousAR">Assumptions!$B$23</definedName>
    <definedName name="PreviousCapitalStock">Assumptions!$B$29</definedName>
    <definedName name="PreviousDepreciation">Assumptions!$B$26</definedName>
    <definedName name="PreviousFixedAssets">Assumptions!$B$25</definedName>
    <definedName name="PreviousInventory">Assumptions!$B$24</definedName>
    <definedName name="PreviousPayables">Assumptions!$B$27</definedName>
    <definedName name="PreviousRetained">Assumptions!$B$30</definedName>
    <definedName name="_xlnm.Print_Area" localSheetId="1">Assumptions!$A$2:$G$39</definedName>
    <definedName name="_xlnm.Print_Area" localSheetId="9">'Balance Sheet'!$A$2:$O$43</definedName>
    <definedName name="_xlnm.Print_Area" localSheetId="5">'Cash Flow'!$A$2:$N$37</definedName>
    <definedName name="_xlnm.Print_Area" localSheetId="7">Equipment!$A$2:$N$18</definedName>
    <definedName name="_xlnm.Print_Area" localSheetId="11">FAQ!$A$1:$I$21</definedName>
    <definedName name="_xlnm.Print_Area" localSheetId="10">Graphs!$A$2:$N$38</definedName>
    <definedName name="_xlnm.Print_Area" localSheetId="8">'Income Statement'!$A$2:$N$57</definedName>
    <definedName name="_xlnm.Print_Area" localSheetId="6">Loans!$A$2:$N$131</definedName>
    <definedName name="_xlnm.Print_Area" localSheetId="2">'Operating Expenses'!$A$2:$N$39</definedName>
    <definedName name="_xlnm.Print_Area" localSheetId="0">Overview!$A$4:$I$24</definedName>
    <definedName name="_xlnm.Print_Area" localSheetId="3">Products!$A$2:$G$41</definedName>
    <definedName name="_xlnm.Print_Area" localSheetId="4">Sales!$A$2:$N$56</definedName>
    <definedName name="Q1COGS">#REF!</definedName>
    <definedName name="Q1Line1COGS">#REF!</definedName>
    <definedName name="Q1Line1Sales">Sales!#REF!</definedName>
    <definedName name="Q1Line2COGS">#REF!</definedName>
    <definedName name="Q1Line2Sales">Sales!#REF!</definedName>
    <definedName name="Q1Line3COGS">#REF!</definedName>
    <definedName name="Q1Line3Sales">Sales!#REF!</definedName>
    <definedName name="Q1Line4COGS">#REF!</definedName>
    <definedName name="Q1Line4Sales">Sales!#REF!</definedName>
    <definedName name="Q1Line5COGS">#REF!</definedName>
    <definedName name="Q1Line5Sales">Sales!#REF!</definedName>
    <definedName name="Q1OE" localSheetId="7">Equipment!#REF!</definedName>
    <definedName name="Q1OE">'Operating Expenses'!$O$31</definedName>
    <definedName name="Q1Sales">Sales!#REF!</definedName>
    <definedName name="Q2COGS">#REF!</definedName>
    <definedName name="Q2Line1COGS">#REF!</definedName>
    <definedName name="Q2Line1Sales">Sales!#REF!</definedName>
    <definedName name="Q2Line2COGS">#REF!</definedName>
    <definedName name="Q2Line2Sales">Sales!#REF!</definedName>
    <definedName name="Q2Line3COGS">#REF!</definedName>
    <definedName name="Q2Line3Sales">Sales!#REF!</definedName>
    <definedName name="Q2Line4COGS">#REF!</definedName>
    <definedName name="Q2Line4Sales">Sales!#REF!</definedName>
    <definedName name="Q2Line5COGS">#REF!</definedName>
    <definedName name="Q2Line5Sales">Sales!#REF!</definedName>
    <definedName name="Q2OE" localSheetId="7">Equipment!#REF!</definedName>
    <definedName name="Q2OE">'Operating Expenses'!$P$31</definedName>
    <definedName name="Q2Sales">Sales!#REF!</definedName>
    <definedName name="Q3COGS">#REF!</definedName>
    <definedName name="Q3Line1COGS">#REF!</definedName>
    <definedName name="Q3Line1Sales">Sales!#REF!</definedName>
    <definedName name="Q3Line2COGS">#REF!</definedName>
    <definedName name="Q3Line2Sales">Sales!#REF!</definedName>
    <definedName name="Q3Line3COGS">#REF!</definedName>
    <definedName name="Q3Line3Sales">Sales!#REF!</definedName>
    <definedName name="Q3Line4COGS">#REF!</definedName>
    <definedName name="Q3Line4Sales">Sales!#REF!</definedName>
    <definedName name="Q3Line5COGS">#REF!</definedName>
    <definedName name="Q3Line5Sales">Sales!#REF!</definedName>
    <definedName name="Q3OE" localSheetId="7">Equipment!#REF!</definedName>
    <definedName name="Q3OE">'Operating Expenses'!$Q$31</definedName>
    <definedName name="Q3Sales">Sales!$O$11</definedName>
    <definedName name="Q4COGS">#REF!</definedName>
    <definedName name="Q4Line1COGS">#REF!</definedName>
    <definedName name="Q4Line1Sales">Sales!#REF!</definedName>
    <definedName name="Q4Line2COGS">#REF!</definedName>
    <definedName name="Q4Line2Sales">Sales!#REF!</definedName>
    <definedName name="Q4Line3COGS">#REF!</definedName>
    <definedName name="Q4Line3Sales">Sales!#REF!</definedName>
    <definedName name="Q4Line4COGS">#REF!</definedName>
    <definedName name="Q4Line4Sales">Sales!#REF!</definedName>
    <definedName name="Q4Line5COGS">#REF!</definedName>
    <definedName name="Q4Line5Sales">Sales!#REF!</definedName>
    <definedName name="Q4OE" localSheetId="7">Equipment!#REF!</definedName>
    <definedName name="Q4OE">'Operating Expenses'!$R$31</definedName>
    <definedName name="Q4Sales">Sales!$P$11</definedName>
    <definedName name="ReturnRate">Assumptions!$B$14</definedName>
    <definedName name="SalesCommissionRate">Assumptions!$B$19</definedName>
    <definedName name="SepAR">'Cash Flow'!$J$33</definedName>
    <definedName name="SepCOGS">Sales!$J$20</definedName>
    <definedName name="SepCommish">'Operating Expenses'!$J$32</definedName>
    <definedName name="SepDepr">Equipment!$J$15</definedName>
    <definedName name="SepEndingCash">'Cash Flow'!$J$31</definedName>
    <definedName name="SepEqmt">Equipment!$J$13</definedName>
    <definedName name="SepEquity">'Cash Flow'!$J$18</definedName>
    <definedName name="SepFreight">Sales!$J$19</definedName>
    <definedName name="SepIncome">'Income Statement'!$J$43</definedName>
    <definedName name="SepIncomeTax">'Income Statement'!$J$41</definedName>
    <definedName name="SepInt">Loans!$K$127</definedName>
    <definedName name="SepInventory">'Balance Sheet'!$K$10</definedName>
    <definedName name="SepLabor">Sales!$J$16</definedName>
    <definedName name="SepLine1COGS">Sales!$J$31</definedName>
    <definedName name="SepLine1Freight">Sales!$J$49</definedName>
    <definedName name="SepLine1Labor">Sales!$J$43</definedName>
    <definedName name="SepLine1Mat">Sales!$J$37</definedName>
    <definedName name="SepLine1Price">Sales!$J$25</definedName>
    <definedName name="SepLine1Sales">Sales!#REF!</definedName>
    <definedName name="SepLine1Units">Sales!$J$6</definedName>
    <definedName name="SepLine2COGS">Sales!$J$32</definedName>
    <definedName name="SepLine2Freight">Sales!$J$50</definedName>
    <definedName name="SepLine2Labor">Sales!$J$44</definedName>
    <definedName name="SepLine2Mat">Sales!$J$38</definedName>
    <definedName name="SepLine2Price">Sales!$J$26</definedName>
    <definedName name="SepLine2Sales">Sales!#REF!</definedName>
    <definedName name="SepLine2Units">Sales!$J$7</definedName>
    <definedName name="SepLine3COGS">Sales!$J$33</definedName>
    <definedName name="SepLine3Freight">Sales!$J$51</definedName>
    <definedName name="SepLine3Labor">Sales!$J$45</definedName>
    <definedName name="SepLine3Mat">Sales!$J$39</definedName>
    <definedName name="SepLine3Price">Sales!$J$27</definedName>
    <definedName name="SepLine3Sales">Sales!#REF!</definedName>
    <definedName name="SepLine3Units">Sales!$J$8</definedName>
    <definedName name="SepLine4COGS">Sales!$J$34</definedName>
    <definedName name="SepLine4Freight">Sales!$J$52</definedName>
    <definedName name="SepLine4Labor">Sales!$J$46</definedName>
    <definedName name="SepLine4Mat">Sales!$J$40</definedName>
    <definedName name="SepLine4Price">Sales!$J$28</definedName>
    <definedName name="SepLine4Sales">Sales!#REF!</definedName>
    <definedName name="SepLine4Units">Sales!$J$9</definedName>
    <definedName name="SepLine5COGS">Sales!$J$35</definedName>
    <definedName name="SepLine5Freight">Sales!$J$53</definedName>
    <definedName name="SepLine5Labor">Sales!$J$47</definedName>
    <definedName name="SepLine5Mat">Sales!$J$41</definedName>
    <definedName name="SepLine5Price">Sales!$J$29</definedName>
    <definedName name="SepLine5Sales">Sales!#REF!</definedName>
    <definedName name="SepLine5Units">Sales!$J$10</definedName>
    <definedName name="SepLoans">'Cash Flow'!$J$13</definedName>
    <definedName name="SepLong">Loans!$K$124</definedName>
    <definedName name="SepMat">Sales!$J$18</definedName>
    <definedName name="SepNet">Sales!$J$14</definedName>
    <definedName name="SepOE" localSheetId="7">Equipment!#REF!</definedName>
    <definedName name="SepOE">'Operating Expenses'!$J$31</definedName>
    <definedName name="SepOEPRTax">'Operating Expenses'!$J$33</definedName>
    <definedName name="SepPayment">'Cash Flow'!$J$17</definedName>
    <definedName name="SepPrinciple">'Cash Flow'!$J$14</definedName>
    <definedName name="SepPRTax">Sales!$J$17</definedName>
    <definedName name="SepRate">'Cash Flow'!$J$15</definedName>
    <definedName name="SepRevenue">Sales!$J$12</definedName>
    <definedName name="SepSales">Sales!$J$11</definedName>
    <definedName name="SepShort">Loans!$K$125</definedName>
    <definedName name="SepTaxes">'Cash Flow'!$J$22</definedName>
    <definedName name="SepTerm">'Cash Flow'!$J$16</definedName>
    <definedName name="SepTotalPays">Loans!$K$128</definedName>
    <definedName name="SepTotEquity">'Balance Sheet'!$K$26</definedName>
    <definedName name="Slide">Assumptions!$F$16</definedName>
    <definedName name="StartingWith">Overview!#REF!</definedName>
    <definedName name="StartingWithDropdown">Overview!$H$17:$H$17</definedName>
    <definedName name="StartMonth">Overview!$B$18</definedName>
    <definedName name="Step1BC">#REF!</definedName>
    <definedName name="Step1ML">#REF!</definedName>
    <definedName name="Step1WC">#REF!</definedName>
    <definedName name="Step2BC">#REF!</definedName>
    <definedName name="Step2ML">#REF!</definedName>
    <definedName name="Step2WC">#REF!</definedName>
    <definedName name="Step3BC">#REF!</definedName>
    <definedName name="Step3ML">#REF!</definedName>
    <definedName name="Step3WC">#REF!</definedName>
    <definedName name="Step4BC">#REF!</definedName>
    <definedName name="Step4ML">#REF!</definedName>
    <definedName name="Step4WC">#REF!</definedName>
    <definedName name="Step5ARBC">#REF!</definedName>
    <definedName name="Step5ARML">#REF!</definedName>
    <definedName name="Step5ARWC">#REF!</definedName>
    <definedName name="Step5CashBC">#REF!</definedName>
    <definedName name="Step5CashML">#REF!</definedName>
    <definedName name="Step5CashWC">#REF!</definedName>
    <definedName name="Step5InvBC">#REF!</definedName>
    <definedName name="Step5InvML">#REF!</definedName>
    <definedName name="Step5InvWC">#REF!</definedName>
    <definedName name="Step6BC">#REF!</definedName>
    <definedName name="Step6ML">#REF!</definedName>
    <definedName name="Step6WC">#REF!</definedName>
    <definedName name="Step7BC">#REF!</definedName>
    <definedName name="Step7ML">#REF!</definedName>
    <definedName name="Step7WC">#REF!</definedName>
    <definedName name="TaxRate">Assumptions!$B$18</definedName>
    <definedName name="ThisYear">Overview!$B$17</definedName>
    <definedName name="ThisYearCOGS">#REF!</definedName>
    <definedName name="ThisYearEquity">'Cash Flow'!$N$18</definedName>
    <definedName name="ThisYearFixedAssets">'Balance Sheet'!$J$13</definedName>
    <definedName name="ThisYearIncome">'Income Statement'!$N$43</definedName>
    <definedName name="ThisYearLine1COGS">#REF!</definedName>
    <definedName name="ThisYearLine1Sales">Sales!#REF!</definedName>
    <definedName name="ThisYearLine2COGS">#REF!</definedName>
    <definedName name="ThisYearLine2Sales">Sales!#REF!</definedName>
    <definedName name="ThisYearLine3COGS">#REF!</definedName>
    <definedName name="ThisYearLine3Sales">Sales!#REF!</definedName>
    <definedName name="ThisYearLine4COGS">#REF!</definedName>
    <definedName name="ThisYearLine4Sales">Sales!#REF!</definedName>
    <definedName name="ThisYearLine5COGS">#REF!</definedName>
    <definedName name="ThisYearLine5Sales">Sales!#REF!</definedName>
    <definedName name="ThisYearLoans">'Cash Flow'!$N$13</definedName>
    <definedName name="ThisYearOE" localSheetId="7">Equipment!#REF!</definedName>
    <definedName name="ThisYearOE">'Operating Expenses'!$N$31</definedName>
    <definedName name="ThisYearSales">Sales!$N$11</definedName>
    <definedName name="TotalLine1Units">Sales!$N$6</definedName>
    <definedName name="TotalMonthlyNetSales">Assumptions!#REF!</definedName>
    <definedName name="TotalRevenue">Sales!$N$12</definedName>
    <definedName name="Unexpected">'Operating Expenses'!$B$37</definedName>
    <definedName name="WCCOGS">#REF!</definedName>
    <definedName name="WCCurrentAssets">#REF!</definedName>
    <definedName name="WCGross">#REF!</definedName>
    <definedName name="WCOE">#REF!</definedName>
    <definedName name="WCOther">#REF!</definedName>
    <definedName name="WCRetained">#REF!</definedName>
    <definedName name="WCSales">#REF!</definedName>
    <definedName name="YearBefore">Overview!#REF!</definedName>
    <definedName name="YearBeforeCOGS">#REF!</definedName>
    <definedName name="YearBeforeLine1COGS">#REF!</definedName>
    <definedName name="YearBeforeLine1Sales">Sales!#REF!</definedName>
    <definedName name="YearBeforeLine2COGS">#REF!</definedName>
    <definedName name="YearBeforeLine2Sales">Sales!#REF!</definedName>
    <definedName name="YearBeforeLine3COGS">#REF!</definedName>
    <definedName name="YearBeforeLine3Sales">Sales!#REF!</definedName>
    <definedName name="YearBeforeLine4COGS">#REF!</definedName>
    <definedName name="YearBeforeLine4Sales">Sales!#REF!</definedName>
    <definedName name="YearBeforeLine5COGS">#REF!</definedName>
    <definedName name="YearBeforeLine5Sales">Sales!#REF!</definedName>
    <definedName name="YearBeforeOE" localSheetId="7">Equipment!#REF!</definedName>
    <definedName name="YearBeforeOE">'Operating Expenses'!#REF!</definedName>
    <definedName name="YearBeforeSales">Sales!#REF!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D30" i="3"/>
  <c r="D31" i="3" s="1"/>
  <c r="D25" i="11" s="1"/>
  <c r="E30" i="3"/>
  <c r="P30" i="3" s="1"/>
  <c r="F30" i="3"/>
  <c r="F31" i="3" s="1"/>
  <c r="F25" i="11" s="1"/>
  <c r="G30" i="3"/>
  <c r="G31" i="3" s="1"/>
  <c r="G25" i="11" s="1"/>
  <c r="H30" i="3"/>
  <c r="I30" i="3"/>
  <c r="J30" i="3"/>
  <c r="K30" i="3"/>
  <c r="K31" i="3" s="1"/>
  <c r="L30" i="3"/>
  <c r="M30" i="3"/>
  <c r="B30" i="3"/>
  <c r="N30" i="3" s="1"/>
  <c r="R27" i="3"/>
  <c r="Q27" i="3"/>
  <c r="P27" i="3"/>
  <c r="O27" i="3"/>
  <c r="N27" i="3"/>
  <c r="R28" i="3"/>
  <c r="Q28" i="3"/>
  <c r="P28" i="3"/>
  <c r="O28" i="3"/>
  <c r="N28" i="3"/>
  <c r="B25" i="2"/>
  <c r="B26" i="2"/>
  <c r="B12" i="6" s="1"/>
  <c r="B15" i="6" s="1"/>
  <c r="B27" i="2"/>
  <c r="B17" i="6" s="1"/>
  <c r="B28" i="2"/>
  <c r="B29" i="2"/>
  <c r="B27" i="6" s="1"/>
  <c r="B30" i="6" s="1"/>
  <c r="B31" i="3"/>
  <c r="B43" i="2"/>
  <c r="B44" i="2"/>
  <c r="B45" i="2"/>
  <c r="B46" i="2"/>
  <c r="B47" i="2"/>
  <c r="B37" i="2"/>
  <c r="B8" i="6" s="1"/>
  <c r="B38" i="2"/>
  <c r="B39" i="2"/>
  <c r="B18" i="6" s="1"/>
  <c r="B40" i="2"/>
  <c r="B41" i="2"/>
  <c r="B49" i="2"/>
  <c r="B19" i="2" s="1"/>
  <c r="B24" i="11" s="1"/>
  <c r="B50" i="2"/>
  <c r="B13" i="6" s="1"/>
  <c r="B51" i="2"/>
  <c r="B52" i="2"/>
  <c r="B53" i="2"/>
  <c r="B36" i="10"/>
  <c r="G14" i="13" s="1"/>
  <c r="C36" i="10"/>
  <c r="D20" i="13" s="1"/>
  <c r="C20" i="13"/>
  <c r="D36" i="10"/>
  <c r="G26" i="13" s="1"/>
  <c r="C26" i="13"/>
  <c r="E36" i="10"/>
  <c r="C32" i="13" s="1"/>
  <c r="G36" i="10"/>
  <c r="J38" i="13" s="1"/>
  <c r="B30" i="10"/>
  <c r="B25" i="5" s="1"/>
  <c r="C25" i="2"/>
  <c r="C26" i="2"/>
  <c r="C27" i="2"/>
  <c r="C28" i="2"/>
  <c r="C22" i="6" s="1"/>
  <c r="C29" i="2"/>
  <c r="C31" i="3"/>
  <c r="C43" i="2"/>
  <c r="C16" i="2" s="1"/>
  <c r="C17" i="2" s="1"/>
  <c r="D22" i="11" s="1"/>
  <c r="C44" i="2"/>
  <c r="C45" i="2"/>
  <c r="C46" i="2"/>
  <c r="C47" i="2"/>
  <c r="C37" i="2"/>
  <c r="C38" i="2"/>
  <c r="C39" i="2"/>
  <c r="C40" i="2"/>
  <c r="C41" i="2"/>
  <c r="C49" i="2"/>
  <c r="C19" i="2" s="1"/>
  <c r="C24" i="11" s="1"/>
  <c r="C50" i="2"/>
  <c r="C51" i="2"/>
  <c r="C52" i="2"/>
  <c r="C53" i="2"/>
  <c r="B17" i="11"/>
  <c r="J44" i="13" s="1"/>
  <c r="C24" i="5"/>
  <c r="D24" i="5" s="1"/>
  <c r="E24" i="5" s="1"/>
  <c r="D25" i="2"/>
  <c r="D26" i="2"/>
  <c r="D12" i="6" s="1"/>
  <c r="D27" i="2"/>
  <c r="D17" i="6" s="1"/>
  <c r="D20" i="6" s="1"/>
  <c r="D28" i="2"/>
  <c r="D29" i="2"/>
  <c r="D27" i="6" s="1"/>
  <c r="D30" i="6" s="1"/>
  <c r="E25" i="2"/>
  <c r="E26" i="2"/>
  <c r="E27" i="2"/>
  <c r="E17" i="6" s="1"/>
  <c r="E20" i="6" s="1"/>
  <c r="E28" i="2"/>
  <c r="E22" i="6" s="1"/>
  <c r="E29" i="2"/>
  <c r="E27" i="6" s="1"/>
  <c r="F25" i="2"/>
  <c r="F12" i="2" s="1"/>
  <c r="F26" i="2"/>
  <c r="F27" i="2"/>
  <c r="F28" i="2"/>
  <c r="F29" i="2"/>
  <c r="G25" i="2"/>
  <c r="G26" i="2"/>
  <c r="G27" i="2"/>
  <c r="G28" i="2"/>
  <c r="G22" i="6" s="1"/>
  <c r="G29" i="2"/>
  <c r="G27" i="6" s="1"/>
  <c r="H25" i="2"/>
  <c r="H26" i="2"/>
  <c r="H12" i="6" s="1"/>
  <c r="H27" i="2"/>
  <c r="H28" i="2"/>
  <c r="H29" i="2"/>
  <c r="I25" i="2"/>
  <c r="I26" i="2"/>
  <c r="I27" i="2"/>
  <c r="I28" i="2"/>
  <c r="I29" i="2"/>
  <c r="J25" i="2"/>
  <c r="J26" i="2"/>
  <c r="J27" i="2"/>
  <c r="J28" i="2"/>
  <c r="J29" i="2"/>
  <c r="K25" i="2"/>
  <c r="K26" i="2"/>
  <c r="K12" i="6" s="1"/>
  <c r="K15" i="6" s="1"/>
  <c r="K27" i="2"/>
  <c r="K17" i="6" s="1"/>
  <c r="K28" i="2"/>
  <c r="K29" i="2"/>
  <c r="L25" i="2"/>
  <c r="L26" i="2"/>
  <c r="L12" i="6" s="1"/>
  <c r="L27" i="2"/>
  <c r="L17" i="6" s="1"/>
  <c r="L20" i="6" s="1"/>
  <c r="L28" i="2"/>
  <c r="L22" i="6" s="1"/>
  <c r="L25" i="6" s="1"/>
  <c r="L29" i="2"/>
  <c r="M25" i="2"/>
  <c r="M26" i="2"/>
  <c r="M27" i="2"/>
  <c r="M28" i="2"/>
  <c r="M22" i="6" s="1"/>
  <c r="M29" i="2"/>
  <c r="D43" i="2"/>
  <c r="D44" i="2"/>
  <c r="D45" i="2"/>
  <c r="D46" i="2"/>
  <c r="D47" i="2"/>
  <c r="D37" i="2"/>
  <c r="D38" i="2"/>
  <c r="D39" i="2"/>
  <c r="D18" i="6" s="1"/>
  <c r="D40" i="2"/>
  <c r="D41" i="2"/>
  <c r="D49" i="2"/>
  <c r="D50" i="2"/>
  <c r="D51" i="2"/>
  <c r="D52" i="2"/>
  <c r="D53" i="2"/>
  <c r="E31" i="3"/>
  <c r="E25" i="11" s="1"/>
  <c r="E43" i="2"/>
  <c r="E44" i="2"/>
  <c r="E13" i="6" s="1"/>
  <c r="E45" i="2"/>
  <c r="E46" i="2"/>
  <c r="E47" i="2"/>
  <c r="E37" i="2"/>
  <c r="E38" i="2"/>
  <c r="E39" i="2"/>
  <c r="E18" i="6" s="1"/>
  <c r="E40" i="2"/>
  <c r="E41" i="2"/>
  <c r="E49" i="2"/>
  <c r="E50" i="2"/>
  <c r="E51" i="2"/>
  <c r="E52" i="2"/>
  <c r="E53" i="2"/>
  <c r="F43" i="2"/>
  <c r="F16" i="2" s="1"/>
  <c r="F21" i="11" s="1"/>
  <c r="F44" i="2"/>
  <c r="F45" i="2"/>
  <c r="F46" i="2"/>
  <c r="F23" i="6" s="1"/>
  <c r="F47" i="2"/>
  <c r="F28" i="6" s="1"/>
  <c r="F29" i="6" s="1"/>
  <c r="F37" i="2"/>
  <c r="F38" i="2"/>
  <c r="F39" i="2"/>
  <c r="F40" i="2"/>
  <c r="F41" i="2"/>
  <c r="F49" i="2"/>
  <c r="F50" i="2"/>
  <c r="F51" i="2"/>
  <c r="F18" i="6" s="1"/>
  <c r="F52" i="2"/>
  <c r="F53" i="2"/>
  <c r="G43" i="2"/>
  <c r="G44" i="2"/>
  <c r="G45" i="2"/>
  <c r="G46" i="2"/>
  <c r="G47" i="2"/>
  <c r="G37" i="2"/>
  <c r="G38" i="2"/>
  <c r="G39" i="2"/>
  <c r="G40" i="2"/>
  <c r="G41" i="2"/>
  <c r="G28" i="6" s="1"/>
  <c r="G49" i="2"/>
  <c r="G50" i="2"/>
  <c r="G51" i="2"/>
  <c r="G52" i="2"/>
  <c r="G23" i="6" s="1"/>
  <c r="G53" i="2"/>
  <c r="H31" i="3"/>
  <c r="Q31" i="3" s="1"/>
  <c r="H43" i="2"/>
  <c r="H44" i="2"/>
  <c r="H45" i="2"/>
  <c r="H46" i="2"/>
  <c r="H47" i="2"/>
  <c r="H37" i="2"/>
  <c r="H8" i="6" s="1"/>
  <c r="H9" i="6" s="1"/>
  <c r="H38" i="2"/>
  <c r="H39" i="2"/>
  <c r="H40" i="2"/>
  <c r="H41" i="2"/>
  <c r="H49" i="2"/>
  <c r="H50" i="2"/>
  <c r="H51" i="2"/>
  <c r="H52" i="2"/>
  <c r="H53" i="2"/>
  <c r="I31" i="3"/>
  <c r="I25" i="11" s="1"/>
  <c r="I43" i="2"/>
  <c r="I44" i="2"/>
  <c r="I13" i="6" s="1"/>
  <c r="I45" i="2"/>
  <c r="I46" i="2"/>
  <c r="I47" i="2"/>
  <c r="I28" i="6" s="1"/>
  <c r="I37" i="2"/>
  <c r="I18" i="2" s="1"/>
  <c r="H18" i="5" s="1"/>
  <c r="I38" i="2"/>
  <c r="I39" i="2"/>
  <c r="I40" i="2"/>
  <c r="I41" i="2"/>
  <c r="I49" i="2"/>
  <c r="I50" i="2"/>
  <c r="I51" i="2"/>
  <c r="I52" i="2"/>
  <c r="I23" i="6" s="1"/>
  <c r="I53" i="2"/>
  <c r="J31" i="3"/>
  <c r="J25" i="11" s="1"/>
  <c r="J43" i="2"/>
  <c r="J16" i="2" s="1"/>
  <c r="J21" i="11" s="1"/>
  <c r="J44" i="2"/>
  <c r="J13" i="6" s="1"/>
  <c r="J45" i="2"/>
  <c r="J46" i="2"/>
  <c r="J47" i="2"/>
  <c r="J37" i="2"/>
  <c r="J38" i="2"/>
  <c r="J39" i="2"/>
  <c r="J40" i="2"/>
  <c r="J41" i="2"/>
  <c r="J28" i="6" s="1"/>
  <c r="J29" i="6" s="1"/>
  <c r="J49" i="2"/>
  <c r="J50" i="2"/>
  <c r="J51" i="2"/>
  <c r="J52" i="2"/>
  <c r="J23" i="6" s="1"/>
  <c r="J24" i="6" s="1"/>
  <c r="J53" i="2"/>
  <c r="K43" i="2"/>
  <c r="K44" i="2"/>
  <c r="K45" i="2"/>
  <c r="K46" i="2"/>
  <c r="K23" i="6" s="1"/>
  <c r="K47" i="2"/>
  <c r="K37" i="2"/>
  <c r="K38" i="2"/>
  <c r="K39" i="2"/>
  <c r="K40" i="2"/>
  <c r="K41" i="2"/>
  <c r="K49" i="2"/>
  <c r="K8" i="6" s="1"/>
  <c r="K50" i="2"/>
  <c r="K51" i="2"/>
  <c r="K52" i="2"/>
  <c r="K53" i="2"/>
  <c r="L31" i="3"/>
  <c r="L43" i="2"/>
  <c r="L8" i="6" s="1"/>
  <c r="L44" i="2"/>
  <c r="L45" i="2"/>
  <c r="L18" i="6" s="1"/>
  <c r="L46" i="2"/>
  <c r="L47" i="2"/>
  <c r="L28" i="6" s="1"/>
  <c r="L37" i="2"/>
  <c r="L38" i="2"/>
  <c r="L39" i="2"/>
  <c r="L40" i="2"/>
  <c r="L41" i="2"/>
  <c r="L49" i="2"/>
  <c r="L50" i="2"/>
  <c r="L51" i="2"/>
  <c r="L52" i="2"/>
  <c r="L53" i="2"/>
  <c r="M31" i="3"/>
  <c r="M25" i="11" s="1"/>
  <c r="M43" i="2"/>
  <c r="M44" i="2"/>
  <c r="M45" i="2"/>
  <c r="M46" i="2"/>
  <c r="M47" i="2"/>
  <c r="M37" i="2"/>
  <c r="M38" i="2"/>
  <c r="M39" i="2"/>
  <c r="M40" i="2"/>
  <c r="M23" i="6" s="1"/>
  <c r="M41" i="2"/>
  <c r="M49" i="2"/>
  <c r="M8" i="6" s="1"/>
  <c r="M50" i="2"/>
  <c r="M51" i="2"/>
  <c r="M52" i="2"/>
  <c r="M53" i="2"/>
  <c r="L9" i="1"/>
  <c r="N9" i="1" s="1"/>
  <c r="F5" i="6" s="1"/>
  <c r="F47" i="6" s="1"/>
  <c r="L10" i="1"/>
  <c r="N10" i="1" s="1"/>
  <c r="A74" i="13" s="1"/>
  <c r="L11" i="1"/>
  <c r="N11" i="1" s="1"/>
  <c r="H5" i="2" s="1"/>
  <c r="L12" i="1"/>
  <c r="N12" i="1" s="1"/>
  <c r="I5" i="11" s="1"/>
  <c r="L13" i="1"/>
  <c r="N13" i="1" s="1"/>
  <c r="J5" i="2" s="1"/>
  <c r="L14" i="1"/>
  <c r="N14" i="1" s="1"/>
  <c r="A102" i="13" s="1"/>
  <c r="L15" i="1"/>
  <c r="N15" i="1" s="1"/>
  <c r="A109" i="13" s="1"/>
  <c r="L16" i="1"/>
  <c r="N16" i="1" s="1"/>
  <c r="M5" i="11" s="1"/>
  <c r="B12" i="10"/>
  <c r="B9" i="11"/>
  <c r="B10" i="13"/>
  <c r="C10" i="13"/>
  <c r="C13" i="13" s="1"/>
  <c r="B22" i="11"/>
  <c r="B16" i="13"/>
  <c r="C16" i="13"/>
  <c r="B22" i="13"/>
  <c r="C22" i="13"/>
  <c r="B28" i="13"/>
  <c r="C28" i="13"/>
  <c r="C31" i="13"/>
  <c r="B34" i="13"/>
  <c r="C34" i="13"/>
  <c r="B6" i="11"/>
  <c r="C10" i="11"/>
  <c r="C13" i="14"/>
  <c r="C28" i="11" s="1"/>
  <c r="D10" i="13"/>
  <c r="C25" i="11"/>
  <c r="D16" i="13"/>
  <c r="D22" i="13"/>
  <c r="D28" i="13"/>
  <c r="D31" i="13" s="1"/>
  <c r="D34" i="13"/>
  <c r="C40" i="13"/>
  <c r="D40" i="13"/>
  <c r="D11" i="11"/>
  <c r="D13" i="14"/>
  <c r="D28" i="11" s="1"/>
  <c r="C17" i="11"/>
  <c r="F47" i="13" s="1"/>
  <c r="D47" i="13"/>
  <c r="E10" i="13"/>
  <c r="E32" i="13"/>
  <c r="E16" i="13"/>
  <c r="E22" i="13"/>
  <c r="E28" i="13"/>
  <c r="F31" i="13" s="1"/>
  <c r="E34" i="13"/>
  <c r="E40" i="13"/>
  <c r="F10" i="13"/>
  <c r="F13" i="13" s="1"/>
  <c r="F16" i="13"/>
  <c r="F18" i="13" s="1"/>
  <c r="F22" i="13"/>
  <c r="F28" i="13"/>
  <c r="F34" i="13"/>
  <c r="F40" i="13"/>
  <c r="E54" i="13"/>
  <c r="F54" i="13"/>
  <c r="F20" i="13"/>
  <c r="F26" i="13"/>
  <c r="F32" i="13"/>
  <c r="D17" i="11"/>
  <c r="L58" i="13" s="1"/>
  <c r="G10" i="13"/>
  <c r="G16" i="13"/>
  <c r="G22" i="13"/>
  <c r="G28" i="13"/>
  <c r="G31" i="13" s="1"/>
  <c r="G34" i="13"/>
  <c r="G40" i="13"/>
  <c r="G54" i="13"/>
  <c r="F61" i="13"/>
  <c r="G61" i="13"/>
  <c r="G64" i="13"/>
  <c r="G20" i="13"/>
  <c r="G32" i="13"/>
  <c r="G44" i="13"/>
  <c r="E17" i="11"/>
  <c r="G65" i="13" s="1"/>
  <c r="F13" i="14"/>
  <c r="F28" i="11" s="1"/>
  <c r="H10" i="13"/>
  <c r="H12" i="13" s="1"/>
  <c r="H16" i="13"/>
  <c r="H19" i="13" s="1"/>
  <c r="H22" i="13"/>
  <c r="H28" i="13"/>
  <c r="H34" i="13"/>
  <c r="H40" i="13"/>
  <c r="H54" i="13"/>
  <c r="H61" i="13"/>
  <c r="G68" i="13"/>
  <c r="H68" i="13"/>
  <c r="H20" i="13"/>
  <c r="H26" i="13"/>
  <c r="H32" i="13"/>
  <c r="H38" i="13"/>
  <c r="F17" i="11"/>
  <c r="K72" i="13" s="1"/>
  <c r="I47" i="13"/>
  <c r="I10" i="13"/>
  <c r="I16" i="13"/>
  <c r="I22" i="13"/>
  <c r="I28" i="13"/>
  <c r="I34" i="13"/>
  <c r="I40" i="13"/>
  <c r="I43" i="13" s="1"/>
  <c r="I54" i="13"/>
  <c r="I61" i="13"/>
  <c r="I63" i="13" s="1"/>
  <c r="I68" i="13"/>
  <c r="H75" i="13"/>
  <c r="I75" i="13"/>
  <c r="I20" i="13"/>
  <c r="I32" i="13"/>
  <c r="G17" i="11"/>
  <c r="N79" i="13" s="1"/>
  <c r="J47" i="13"/>
  <c r="J10" i="13"/>
  <c r="J16" i="13"/>
  <c r="J22" i="13"/>
  <c r="J24" i="13" s="1"/>
  <c r="J28" i="13"/>
  <c r="J31" i="13" s="1"/>
  <c r="J34" i="13"/>
  <c r="J36" i="13" s="1"/>
  <c r="J40" i="13"/>
  <c r="J54" i="13"/>
  <c r="J61" i="13"/>
  <c r="J68" i="13"/>
  <c r="J75" i="13"/>
  <c r="J78" i="13" s="1"/>
  <c r="I82" i="13"/>
  <c r="J82" i="13"/>
  <c r="J84" i="13" s="1"/>
  <c r="J20" i="13"/>
  <c r="J26" i="13"/>
  <c r="J32" i="13"/>
  <c r="J58" i="13"/>
  <c r="H17" i="11"/>
  <c r="K86" i="13" s="1"/>
  <c r="K47" i="13"/>
  <c r="K10" i="13"/>
  <c r="K16" i="13"/>
  <c r="L19" i="13" s="1"/>
  <c r="K22" i="13"/>
  <c r="K28" i="13"/>
  <c r="K34" i="13"/>
  <c r="K40" i="13"/>
  <c r="K54" i="13"/>
  <c r="K61" i="13"/>
  <c r="K64" i="13" s="1"/>
  <c r="K68" i="13"/>
  <c r="K75" i="13"/>
  <c r="L78" i="13" s="1"/>
  <c r="K82" i="13"/>
  <c r="J89" i="13"/>
  <c r="K89" i="13"/>
  <c r="K20" i="13"/>
  <c r="K32" i="13"/>
  <c r="K58" i="13"/>
  <c r="I17" i="11"/>
  <c r="K93" i="13"/>
  <c r="L47" i="13"/>
  <c r="L10" i="13"/>
  <c r="L16" i="13"/>
  <c r="L22" i="13"/>
  <c r="L28" i="13"/>
  <c r="L31" i="13" s="1"/>
  <c r="L34" i="13"/>
  <c r="L40" i="13"/>
  <c r="L54" i="13"/>
  <c r="L61" i="13"/>
  <c r="L68" i="13"/>
  <c r="L71" i="13"/>
  <c r="L75" i="13"/>
  <c r="L82" i="13"/>
  <c r="L89" i="13"/>
  <c r="M92" i="13" s="1"/>
  <c r="K96" i="13"/>
  <c r="L96" i="13"/>
  <c r="L20" i="13"/>
  <c r="L32" i="13"/>
  <c r="L44" i="13"/>
  <c r="L93" i="13"/>
  <c r="J17" i="11"/>
  <c r="N100" i="13" s="1"/>
  <c r="M47" i="13"/>
  <c r="M10" i="13"/>
  <c r="M16" i="13"/>
  <c r="M19" i="13" s="1"/>
  <c r="M22" i="13"/>
  <c r="M28" i="13"/>
  <c r="M34" i="13"/>
  <c r="M40" i="13"/>
  <c r="M54" i="13"/>
  <c r="M61" i="13"/>
  <c r="M68" i="13"/>
  <c r="M75" i="13"/>
  <c r="M78" i="13" s="1"/>
  <c r="M82" i="13"/>
  <c r="M89" i="13"/>
  <c r="M91" i="13" s="1"/>
  <c r="M96" i="13"/>
  <c r="L103" i="13"/>
  <c r="M103" i="13"/>
  <c r="M106" i="13" s="1"/>
  <c r="M20" i="13"/>
  <c r="M32" i="13"/>
  <c r="M44" i="13"/>
  <c r="M72" i="13"/>
  <c r="M93" i="13"/>
  <c r="K17" i="11"/>
  <c r="M107" i="13" s="1"/>
  <c r="L25" i="11"/>
  <c r="N47" i="13"/>
  <c r="N10" i="13"/>
  <c r="N16" i="13"/>
  <c r="N18" i="13" s="1"/>
  <c r="N22" i="13"/>
  <c r="N28" i="13"/>
  <c r="N34" i="13"/>
  <c r="N40" i="13"/>
  <c r="N54" i="13"/>
  <c r="N61" i="13"/>
  <c r="N68" i="13"/>
  <c r="N75" i="13"/>
  <c r="N77" i="13" s="1"/>
  <c r="N82" i="13"/>
  <c r="N89" i="13"/>
  <c r="N96" i="13"/>
  <c r="N98" i="13" s="1"/>
  <c r="N103" i="13"/>
  <c r="M110" i="13"/>
  <c r="N110" i="13"/>
  <c r="N20" i="13"/>
  <c r="N26" i="13"/>
  <c r="N32" i="13"/>
  <c r="N44" i="13"/>
  <c r="N58" i="13"/>
  <c r="N72" i="13"/>
  <c r="N93" i="13"/>
  <c r="N107" i="13"/>
  <c r="L17" i="11"/>
  <c r="N114" i="13" s="1"/>
  <c r="A19" i="2"/>
  <c r="A24" i="11"/>
  <c r="A36" i="12"/>
  <c r="A25" i="12"/>
  <c r="N35" i="13"/>
  <c r="M35" i="13"/>
  <c r="L35" i="13"/>
  <c r="K35" i="13"/>
  <c r="J35" i="13"/>
  <c r="I35" i="13"/>
  <c r="H35" i="13"/>
  <c r="H36" i="13" s="1"/>
  <c r="G35" i="13"/>
  <c r="G36" i="13" s="1"/>
  <c r="F35" i="13"/>
  <c r="E35" i="13"/>
  <c r="D35" i="13"/>
  <c r="C35" i="13"/>
  <c r="B35" i="13"/>
  <c r="B36" i="13" s="1"/>
  <c r="N29" i="13"/>
  <c r="M29" i="13"/>
  <c r="L29" i="13"/>
  <c r="K29" i="13"/>
  <c r="J29" i="13"/>
  <c r="I29" i="13"/>
  <c r="I30" i="13" s="1"/>
  <c r="H29" i="13"/>
  <c r="G29" i="13"/>
  <c r="F29" i="13"/>
  <c r="F30" i="13" s="1"/>
  <c r="E29" i="13"/>
  <c r="E30" i="13" s="1"/>
  <c r="D29" i="13"/>
  <c r="D30" i="13" s="1"/>
  <c r="C29" i="13"/>
  <c r="C30" i="13" s="1"/>
  <c r="B29" i="13"/>
  <c r="N117" i="13"/>
  <c r="C11" i="13"/>
  <c r="C17" i="13"/>
  <c r="C23" i="13"/>
  <c r="C41" i="13"/>
  <c r="D11" i="13"/>
  <c r="D17" i="13"/>
  <c r="D23" i="13"/>
  <c r="D41" i="13"/>
  <c r="D42" i="13" s="1"/>
  <c r="D48" i="13"/>
  <c r="E11" i="13"/>
  <c r="E17" i="13"/>
  <c r="E23" i="13"/>
  <c r="E41" i="13"/>
  <c r="E48" i="13"/>
  <c r="E55" i="13"/>
  <c r="F11" i="13"/>
  <c r="F17" i="13"/>
  <c r="F23" i="13"/>
  <c r="F41" i="13"/>
  <c r="F42" i="13" s="1"/>
  <c r="F48" i="13"/>
  <c r="F55" i="13"/>
  <c r="F62" i="13"/>
  <c r="G11" i="13"/>
  <c r="G12" i="13" s="1"/>
  <c r="G17" i="13"/>
  <c r="G23" i="13"/>
  <c r="G41" i="13"/>
  <c r="G48" i="13"/>
  <c r="G55" i="13"/>
  <c r="G56" i="13" s="1"/>
  <c r="G62" i="13"/>
  <c r="G63" i="13" s="1"/>
  <c r="G69" i="13"/>
  <c r="H11" i="13"/>
  <c r="H17" i="13"/>
  <c r="H18" i="13" s="1"/>
  <c r="H23" i="13"/>
  <c r="H41" i="13"/>
  <c r="H42" i="13" s="1"/>
  <c r="H48" i="13"/>
  <c r="H55" i="13"/>
  <c r="H62" i="13"/>
  <c r="H63" i="13" s="1"/>
  <c r="H69" i="13"/>
  <c r="H76" i="13"/>
  <c r="I11" i="13"/>
  <c r="I12" i="13" s="1"/>
  <c r="I17" i="13"/>
  <c r="I23" i="13"/>
  <c r="I41" i="13"/>
  <c r="I48" i="13"/>
  <c r="I55" i="13"/>
  <c r="I62" i="13"/>
  <c r="I69" i="13"/>
  <c r="I70" i="13" s="1"/>
  <c r="I76" i="13"/>
  <c r="I77" i="13" s="1"/>
  <c r="I83" i="13"/>
  <c r="I84" i="13" s="1"/>
  <c r="J11" i="13"/>
  <c r="J17" i="13"/>
  <c r="J23" i="13"/>
  <c r="J41" i="13"/>
  <c r="J48" i="13"/>
  <c r="J55" i="13"/>
  <c r="J62" i="13"/>
  <c r="J69" i="13"/>
  <c r="J70" i="13" s="1"/>
  <c r="J76" i="13"/>
  <c r="J77" i="13" s="1"/>
  <c r="J83" i="13"/>
  <c r="J90" i="13"/>
  <c r="K11" i="13"/>
  <c r="K17" i="13"/>
  <c r="K23" i="13"/>
  <c r="K41" i="13"/>
  <c r="K42" i="13" s="1"/>
  <c r="K48" i="13"/>
  <c r="K55" i="13"/>
  <c r="K62" i="13"/>
  <c r="K69" i="13"/>
  <c r="K70" i="13" s="1"/>
  <c r="K76" i="13"/>
  <c r="K77" i="13" s="1"/>
  <c r="K83" i="13"/>
  <c r="K90" i="13"/>
  <c r="K97" i="13"/>
  <c r="L11" i="13"/>
  <c r="L17" i="13"/>
  <c r="L18" i="13" s="1"/>
  <c r="L23" i="13"/>
  <c r="L24" i="13" s="1"/>
  <c r="L41" i="13"/>
  <c r="L42" i="13" s="1"/>
  <c r="L48" i="13"/>
  <c r="L49" i="13" s="1"/>
  <c r="L55" i="13"/>
  <c r="L62" i="13"/>
  <c r="L69" i="13"/>
  <c r="L70" i="13" s="1"/>
  <c r="L76" i="13"/>
  <c r="L77" i="13" s="1"/>
  <c r="L83" i="13"/>
  <c r="L90" i="13"/>
  <c r="L97" i="13"/>
  <c r="L104" i="13"/>
  <c r="L105" i="13" s="1"/>
  <c r="M11" i="13"/>
  <c r="M17" i="13"/>
  <c r="M23" i="13"/>
  <c r="M24" i="13" s="1"/>
  <c r="M41" i="13"/>
  <c r="M48" i="13"/>
  <c r="M55" i="13"/>
  <c r="M62" i="13"/>
  <c r="M69" i="13"/>
  <c r="M76" i="13"/>
  <c r="M83" i="13"/>
  <c r="M90" i="13"/>
  <c r="M97" i="13"/>
  <c r="M98" i="13" s="1"/>
  <c r="M104" i="13"/>
  <c r="M111" i="13"/>
  <c r="M112" i="13" s="1"/>
  <c r="N11" i="13"/>
  <c r="N12" i="13" s="1"/>
  <c r="N17" i="13"/>
  <c r="N23" i="13"/>
  <c r="N41" i="13"/>
  <c r="N48" i="13"/>
  <c r="N55" i="13"/>
  <c r="N62" i="13"/>
  <c r="N69" i="13"/>
  <c r="N70" i="13" s="1"/>
  <c r="N76" i="13"/>
  <c r="N83" i="13"/>
  <c r="N84" i="13" s="1"/>
  <c r="N90" i="13"/>
  <c r="N97" i="13"/>
  <c r="N104" i="13"/>
  <c r="N111" i="13"/>
  <c r="N118" i="13"/>
  <c r="D12" i="13"/>
  <c r="D49" i="13"/>
  <c r="G70" i="13"/>
  <c r="K56" i="13"/>
  <c r="M70" i="13"/>
  <c r="B127" i="13"/>
  <c r="B126" i="13"/>
  <c r="B11" i="13"/>
  <c r="B12" i="13"/>
  <c r="B17" i="13"/>
  <c r="B23" i="13"/>
  <c r="B24" i="13"/>
  <c r="B123" i="13"/>
  <c r="A33" i="13"/>
  <c r="A27" i="13"/>
  <c r="A21" i="13"/>
  <c r="A15" i="13"/>
  <c r="A9" i="13"/>
  <c r="A10" i="2"/>
  <c r="A9" i="2"/>
  <c r="A8" i="2"/>
  <c r="A7" i="2"/>
  <c r="A6" i="2"/>
  <c r="B13" i="14"/>
  <c r="E13" i="14"/>
  <c r="E28" i="11" s="1"/>
  <c r="G13" i="14"/>
  <c r="G28" i="11" s="1"/>
  <c r="H13" i="14"/>
  <c r="H28" i="11" s="1"/>
  <c r="I13" i="14"/>
  <c r="I28" i="11" s="1"/>
  <c r="J13" i="14"/>
  <c r="J28" i="11" s="1"/>
  <c r="K13" i="14"/>
  <c r="K28" i="11" s="1"/>
  <c r="L13" i="14"/>
  <c r="L28" i="11" s="1"/>
  <c r="M13" i="14"/>
  <c r="M28" i="11" s="1"/>
  <c r="I23" i="15"/>
  <c r="I22" i="15"/>
  <c r="I26" i="15"/>
  <c r="I25" i="15"/>
  <c r="I24" i="15"/>
  <c r="C27" i="6"/>
  <c r="F27" i="6"/>
  <c r="F30" i="6" s="1"/>
  <c r="H27" i="6"/>
  <c r="I27" i="6"/>
  <c r="J27" i="6"/>
  <c r="J30" i="6" s="1"/>
  <c r="K27" i="6"/>
  <c r="K30" i="6" s="1"/>
  <c r="L27" i="6"/>
  <c r="L30" i="6" s="1"/>
  <c r="M27" i="6"/>
  <c r="M30" i="6" s="1"/>
  <c r="C28" i="6"/>
  <c r="M28" i="6"/>
  <c r="B22" i="6"/>
  <c r="B25" i="6" s="1"/>
  <c r="C23" i="6"/>
  <c r="D22" i="6"/>
  <c r="E23" i="6"/>
  <c r="F22" i="6"/>
  <c r="F25" i="6" s="1"/>
  <c r="H22" i="6"/>
  <c r="I22" i="6"/>
  <c r="J22" i="6"/>
  <c r="J25" i="6" s="1"/>
  <c r="K22" i="6"/>
  <c r="K24" i="6" s="1"/>
  <c r="C17" i="6"/>
  <c r="C18" i="6"/>
  <c r="F17" i="6"/>
  <c r="F20" i="6" s="1"/>
  <c r="G17" i="6"/>
  <c r="H17" i="6"/>
  <c r="H20" i="6" s="1"/>
  <c r="H18" i="6"/>
  <c r="I17" i="6"/>
  <c r="I20" i="6" s="1"/>
  <c r="I18" i="6"/>
  <c r="J17" i="6"/>
  <c r="J18" i="6"/>
  <c r="K18" i="6"/>
  <c r="M17" i="6"/>
  <c r="M19" i="6" s="1"/>
  <c r="M18" i="6"/>
  <c r="C12" i="6"/>
  <c r="C15" i="6" s="1"/>
  <c r="C13" i="6"/>
  <c r="D13" i="6"/>
  <c r="E12" i="6"/>
  <c r="F12" i="6"/>
  <c r="G12" i="6"/>
  <c r="G15" i="6" s="1"/>
  <c r="H13" i="6"/>
  <c r="I12" i="6"/>
  <c r="J12" i="6"/>
  <c r="J15" i="6" s="1"/>
  <c r="M12" i="6"/>
  <c r="M13" i="6"/>
  <c r="B7" i="6"/>
  <c r="C7" i="6"/>
  <c r="D7" i="6"/>
  <c r="D10" i="6" s="1"/>
  <c r="E7" i="6"/>
  <c r="E10" i="6" s="1"/>
  <c r="F7" i="6"/>
  <c r="G7" i="6"/>
  <c r="G8" i="6"/>
  <c r="H7" i="6"/>
  <c r="H10" i="6" s="1"/>
  <c r="I7" i="6"/>
  <c r="J7" i="6"/>
  <c r="J10" i="6" s="1"/>
  <c r="K7" i="6"/>
  <c r="L7" i="6"/>
  <c r="L10" i="6" s="1"/>
  <c r="M7" i="6"/>
  <c r="I30" i="6"/>
  <c r="M20" i="6"/>
  <c r="J20" i="6"/>
  <c r="F15" i="6"/>
  <c r="A67" i="13"/>
  <c r="L8" i="1"/>
  <c r="N8" i="1" s="1"/>
  <c r="L7" i="1"/>
  <c r="N7" i="1" s="1"/>
  <c r="L6" i="1"/>
  <c r="N6" i="1" s="1"/>
  <c r="A46" i="13" s="1"/>
  <c r="L5" i="1"/>
  <c r="N5" i="1" s="1"/>
  <c r="M15" i="1"/>
  <c r="M7" i="1"/>
  <c r="M8" i="1"/>
  <c r="M9" i="1"/>
  <c r="M16" i="1"/>
  <c r="M14" i="1"/>
  <c r="M13" i="1"/>
  <c r="M12" i="1"/>
  <c r="M11" i="1"/>
  <c r="M10" i="1"/>
  <c r="B10" i="5"/>
  <c r="C40" i="5" s="1"/>
  <c r="F16" i="10"/>
  <c r="M6" i="1"/>
  <c r="M5" i="1"/>
  <c r="K5" i="14"/>
  <c r="I5" i="14"/>
  <c r="H5" i="14"/>
  <c r="I7" i="13"/>
  <c r="G7" i="13"/>
  <c r="D7" i="13"/>
  <c r="H5" i="11"/>
  <c r="F5" i="11"/>
  <c r="C5" i="11"/>
  <c r="M5" i="3"/>
  <c r="H5" i="3"/>
  <c r="G5" i="3"/>
  <c r="C5" i="3"/>
  <c r="A3" i="12"/>
  <c r="A3" i="14" s="1"/>
  <c r="B24" i="5"/>
  <c r="B18" i="5"/>
  <c r="B19" i="5"/>
  <c r="B8" i="5"/>
  <c r="B9" i="5"/>
  <c r="B12" i="5"/>
  <c r="B13" i="5"/>
  <c r="B12" i="12"/>
  <c r="B15" i="12"/>
  <c r="B31" i="2"/>
  <c r="C23" i="12"/>
  <c r="C26" i="12" s="1"/>
  <c r="C27" i="12" s="1"/>
  <c r="B32" i="2"/>
  <c r="B33" i="2"/>
  <c r="B34" i="2"/>
  <c r="B35" i="2"/>
  <c r="C31" i="2"/>
  <c r="C32" i="2"/>
  <c r="C33" i="2"/>
  <c r="C34" i="2"/>
  <c r="C35" i="2"/>
  <c r="D31" i="2"/>
  <c r="D32" i="2"/>
  <c r="D33" i="2"/>
  <c r="D34" i="2"/>
  <c r="D35" i="2"/>
  <c r="E31" i="2"/>
  <c r="E32" i="2"/>
  <c r="E33" i="2"/>
  <c r="E34" i="2"/>
  <c r="E35" i="2"/>
  <c r="F31" i="2"/>
  <c r="C34" i="12"/>
  <c r="C37" i="12" s="1"/>
  <c r="C38" i="12" s="1"/>
  <c r="F32" i="2"/>
  <c r="F33" i="2"/>
  <c r="F34" i="2"/>
  <c r="F35" i="2"/>
  <c r="B23" i="12"/>
  <c r="B26" i="12" s="1"/>
  <c r="B27" i="12" s="1"/>
  <c r="G31" i="2"/>
  <c r="G32" i="2"/>
  <c r="G33" i="2"/>
  <c r="G34" i="2"/>
  <c r="G35" i="2"/>
  <c r="H31" i="2"/>
  <c r="H32" i="2"/>
  <c r="H33" i="2"/>
  <c r="H34" i="2"/>
  <c r="H35" i="2"/>
  <c r="I31" i="2"/>
  <c r="I32" i="2"/>
  <c r="I33" i="2"/>
  <c r="I34" i="2"/>
  <c r="I35" i="2"/>
  <c r="J31" i="2"/>
  <c r="J32" i="2"/>
  <c r="J33" i="2"/>
  <c r="J34" i="2"/>
  <c r="J35" i="2"/>
  <c r="K31" i="2"/>
  <c r="K32" i="2"/>
  <c r="K33" i="2"/>
  <c r="K34" i="2"/>
  <c r="K35" i="2"/>
  <c r="L31" i="2"/>
  <c r="L32" i="2"/>
  <c r="L33" i="2"/>
  <c r="L34" i="2"/>
  <c r="L35" i="2"/>
  <c r="M31" i="2"/>
  <c r="M32" i="2"/>
  <c r="M33" i="2"/>
  <c r="M34" i="2"/>
  <c r="M35" i="2"/>
  <c r="M17" i="11"/>
  <c r="D12" i="12"/>
  <c r="C12" i="12"/>
  <c r="C15" i="12" s="1"/>
  <c r="C16" i="12" s="1"/>
  <c r="D15" i="12"/>
  <c r="D16" i="12" s="1"/>
  <c r="F12" i="12"/>
  <c r="F15" i="12"/>
  <c r="F16" i="12" s="1"/>
  <c r="E12" i="12"/>
  <c r="E15" i="12"/>
  <c r="D23" i="12"/>
  <c r="D26" i="12"/>
  <c r="D27" i="12" s="1"/>
  <c r="F23" i="12"/>
  <c r="F26" i="12"/>
  <c r="F27" i="12" s="1"/>
  <c r="E23" i="12"/>
  <c r="E26" i="12"/>
  <c r="E27" i="12" s="1"/>
  <c r="N6" i="14"/>
  <c r="N7" i="14"/>
  <c r="N8" i="14"/>
  <c r="N9" i="14"/>
  <c r="N10" i="14"/>
  <c r="N11" i="14"/>
  <c r="N12" i="14"/>
  <c r="O6" i="14"/>
  <c r="P6" i="14"/>
  <c r="Q6" i="14"/>
  <c r="R6" i="14"/>
  <c r="O7" i="14"/>
  <c r="P7" i="14"/>
  <c r="Q7" i="14"/>
  <c r="R7" i="14"/>
  <c r="O8" i="14"/>
  <c r="P8" i="14"/>
  <c r="Q8" i="14"/>
  <c r="R8" i="14"/>
  <c r="O9" i="14"/>
  <c r="P9" i="14"/>
  <c r="Q9" i="14"/>
  <c r="R9" i="14"/>
  <c r="O10" i="14"/>
  <c r="P10" i="14"/>
  <c r="Q10" i="14"/>
  <c r="R10" i="14"/>
  <c r="O11" i="14"/>
  <c r="P11" i="14"/>
  <c r="Q11" i="14"/>
  <c r="R11" i="14"/>
  <c r="O12" i="14"/>
  <c r="P12" i="14"/>
  <c r="Q12" i="14"/>
  <c r="R12" i="14"/>
  <c r="N14" i="11"/>
  <c r="B11" i="2"/>
  <c r="C11" i="2"/>
  <c r="N11" i="2" s="1"/>
  <c r="D11" i="2"/>
  <c r="E11" i="2"/>
  <c r="F11" i="2"/>
  <c r="G11" i="2"/>
  <c r="H11" i="2"/>
  <c r="I11" i="2"/>
  <c r="J11" i="2"/>
  <c r="K11" i="2"/>
  <c r="P11" i="2" s="1"/>
  <c r="L11" i="2"/>
  <c r="M11" i="2"/>
  <c r="F34" i="12"/>
  <c r="F37" i="12" s="1"/>
  <c r="F38" i="12" s="1"/>
  <c r="E34" i="12"/>
  <c r="D34" i="12"/>
  <c r="B34" i="12"/>
  <c r="E37" i="12"/>
  <c r="E38" i="12" s="1"/>
  <c r="D37" i="12"/>
  <c r="D38" i="12" s="1"/>
  <c r="B37" i="12"/>
  <c r="B38" i="12"/>
  <c r="B6" i="10"/>
  <c r="E16" i="12"/>
  <c r="B16" i="12"/>
  <c r="N18" i="11"/>
  <c r="B15" i="10"/>
  <c r="N6" i="2"/>
  <c r="N7" i="2"/>
  <c r="N8" i="2"/>
  <c r="N9" i="2"/>
  <c r="N10" i="2"/>
  <c r="I15" i="5"/>
  <c r="I16" i="5"/>
  <c r="I17" i="5"/>
  <c r="I23" i="5"/>
  <c r="I27" i="5"/>
  <c r="H15" i="5"/>
  <c r="H16" i="5"/>
  <c r="H17" i="5"/>
  <c r="H23" i="5"/>
  <c r="H27" i="5"/>
  <c r="G15" i="5"/>
  <c r="G16" i="5"/>
  <c r="G17" i="5"/>
  <c r="G23" i="5"/>
  <c r="G27" i="5"/>
  <c r="G11" i="6"/>
  <c r="G16" i="6"/>
  <c r="G21" i="6"/>
  <c r="G26" i="6"/>
  <c r="G31" i="6"/>
  <c r="N21" i="3"/>
  <c r="N23" i="3"/>
  <c r="N7" i="3"/>
  <c r="N8" i="3"/>
  <c r="N9" i="3"/>
  <c r="N12" i="3"/>
  <c r="N13" i="3"/>
  <c r="N14" i="3"/>
  <c r="N15" i="3"/>
  <c r="N16" i="3"/>
  <c r="N17" i="3"/>
  <c r="N18" i="3"/>
  <c r="N19" i="3"/>
  <c r="N20" i="3"/>
  <c r="N22" i="3"/>
  <c r="N24" i="3"/>
  <c r="N25" i="3"/>
  <c r="N26" i="3"/>
  <c r="N29" i="3"/>
  <c r="G37" i="6"/>
  <c r="G42" i="6"/>
  <c r="F11" i="6"/>
  <c r="F16" i="6"/>
  <c r="F21" i="6"/>
  <c r="F26" i="6"/>
  <c r="F31" i="6"/>
  <c r="F37" i="6"/>
  <c r="F42" i="6"/>
  <c r="A26" i="6"/>
  <c r="A21" i="6"/>
  <c r="A16" i="6"/>
  <c r="A11" i="6"/>
  <c r="A6" i="6"/>
  <c r="R30" i="3"/>
  <c r="Q30" i="3"/>
  <c r="O30" i="3"/>
  <c r="R29" i="3"/>
  <c r="Q29" i="3"/>
  <c r="P29" i="3"/>
  <c r="O29" i="3"/>
  <c r="R26" i="3"/>
  <c r="Q26" i="3"/>
  <c r="P26" i="3"/>
  <c r="O26" i="3"/>
  <c r="R25" i="3"/>
  <c r="Q25" i="3"/>
  <c r="P25" i="3"/>
  <c r="O25" i="3"/>
  <c r="R24" i="3"/>
  <c r="Q24" i="3"/>
  <c r="P24" i="3"/>
  <c r="O24" i="3"/>
  <c r="R23" i="3"/>
  <c r="Q23" i="3"/>
  <c r="P23" i="3"/>
  <c r="O23" i="3"/>
  <c r="R22" i="3"/>
  <c r="Q22" i="3"/>
  <c r="P22" i="3"/>
  <c r="O22" i="3"/>
  <c r="R21" i="3"/>
  <c r="Q21" i="3"/>
  <c r="P21" i="3"/>
  <c r="O21" i="3"/>
  <c r="R20" i="3"/>
  <c r="Q20" i="3"/>
  <c r="P20" i="3"/>
  <c r="O20" i="3"/>
  <c r="R19" i="3"/>
  <c r="Q19" i="3"/>
  <c r="P19" i="3"/>
  <c r="O19" i="3"/>
  <c r="R18" i="3"/>
  <c r="Q18" i="3"/>
  <c r="P18" i="3"/>
  <c r="O18" i="3"/>
  <c r="R17" i="3"/>
  <c r="Q17" i="3"/>
  <c r="P17" i="3"/>
  <c r="O17" i="3"/>
  <c r="R16" i="3"/>
  <c r="Q16" i="3"/>
  <c r="P16" i="3"/>
  <c r="O16" i="3"/>
  <c r="R15" i="3"/>
  <c r="Q15" i="3"/>
  <c r="P15" i="3"/>
  <c r="O15" i="3"/>
  <c r="R14" i="3"/>
  <c r="Q14" i="3"/>
  <c r="P14" i="3"/>
  <c r="O14" i="3"/>
  <c r="R13" i="3"/>
  <c r="Q13" i="3"/>
  <c r="P13" i="3"/>
  <c r="O13" i="3"/>
  <c r="R12" i="3"/>
  <c r="Q12" i="3"/>
  <c r="P12" i="3"/>
  <c r="O12" i="3"/>
  <c r="R9" i="3"/>
  <c r="Q9" i="3"/>
  <c r="P9" i="3"/>
  <c r="O9" i="3"/>
  <c r="R8" i="3"/>
  <c r="Q8" i="3"/>
  <c r="P8" i="3"/>
  <c r="O8" i="3"/>
  <c r="R7" i="3"/>
  <c r="Q7" i="3"/>
  <c r="P7" i="3"/>
  <c r="O7" i="3"/>
  <c r="O11" i="2"/>
  <c r="O7" i="2"/>
  <c r="P7" i="2"/>
  <c r="O8" i="2"/>
  <c r="P8" i="2"/>
  <c r="O9" i="2"/>
  <c r="P9" i="2"/>
  <c r="O10" i="2"/>
  <c r="P10" i="2"/>
  <c r="P6" i="2"/>
  <c r="O6" i="2"/>
  <c r="K38" i="13" l="1"/>
  <c r="F14" i="13"/>
  <c r="I29" i="6"/>
  <c r="L38" i="13"/>
  <c r="E36" i="13"/>
  <c r="J14" i="13"/>
  <c r="D37" i="13"/>
  <c r="M38" i="13"/>
  <c r="N14" i="13"/>
  <c r="N36" i="13"/>
  <c r="L29" i="6"/>
  <c r="C29" i="6"/>
  <c r="M26" i="13"/>
  <c r="L26" i="13"/>
  <c r="K26" i="13"/>
  <c r="K30" i="13"/>
  <c r="H14" i="13"/>
  <c r="F19" i="13"/>
  <c r="C14" i="13"/>
  <c r="C127" i="13" s="1"/>
  <c r="B39" i="6" s="1"/>
  <c r="K24" i="13"/>
  <c r="M14" i="13"/>
  <c r="L14" i="13"/>
  <c r="K14" i="13"/>
  <c r="I38" i="13"/>
  <c r="G38" i="13"/>
  <c r="F37" i="13"/>
  <c r="D32" i="13"/>
  <c r="I24" i="13"/>
  <c r="D26" i="13"/>
  <c r="I36" i="13"/>
  <c r="L25" i="13"/>
  <c r="E26" i="13"/>
  <c r="B11" i="5"/>
  <c r="L12" i="13"/>
  <c r="K12" i="13"/>
  <c r="G24" i="13"/>
  <c r="I26" i="13"/>
  <c r="E20" i="13"/>
  <c r="D24" i="13"/>
  <c r="C25" i="13"/>
  <c r="C38" i="13"/>
  <c r="H24" i="13"/>
  <c r="E38" i="13"/>
  <c r="D38" i="13"/>
  <c r="M12" i="13"/>
  <c r="E14" i="13"/>
  <c r="D18" i="13"/>
  <c r="D14" i="13"/>
  <c r="I19" i="6"/>
  <c r="L36" i="13"/>
  <c r="I14" i="13"/>
  <c r="F38" i="13"/>
  <c r="E37" i="13"/>
  <c r="B30" i="13"/>
  <c r="M36" i="13"/>
  <c r="N38" i="13"/>
  <c r="H31" i="13"/>
  <c r="F12" i="13"/>
  <c r="B14" i="5"/>
  <c r="B26" i="5"/>
  <c r="F24" i="6"/>
  <c r="C24" i="6"/>
  <c r="H14" i="6"/>
  <c r="M29" i="6"/>
  <c r="L9" i="6"/>
  <c r="H19" i="6"/>
  <c r="N13" i="14"/>
  <c r="I56" i="13"/>
  <c r="E12" i="13"/>
  <c r="E24" i="13"/>
  <c r="C24" i="13"/>
  <c r="M30" i="13"/>
  <c r="L13" i="13"/>
  <c r="I18" i="13"/>
  <c r="G18" i="13"/>
  <c r="K18" i="13"/>
  <c r="N30" i="13"/>
  <c r="D25" i="13"/>
  <c r="D19" i="13"/>
  <c r="G30" i="13"/>
  <c r="N31" i="13"/>
  <c r="K36" i="13"/>
  <c r="J18" i="13"/>
  <c r="E13" i="13"/>
  <c r="K31" i="13"/>
  <c r="I49" i="13"/>
  <c r="K49" i="13"/>
  <c r="C18" i="13"/>
  <c r="C37" i="13"/>
  <c r="H30" i="13"/>
  <c r="D36" i="13"/>
  <c r="D125" i="13" s="1"/>
  <c r="D20" i="5" s="1"/>
  <c r="K19" i="13"/>
  <c r="C124" i="13"/>
  <c r="C22" i="5" s="1"/>
  <c r="L30" i="13"/>
  <c r="I31" i="13"/>
  <c r="C36" i="13"/>
  <c r="F36" i="13"/>
  <c r="G19" i="13"/>
  <c r="D13" i="13"/>
  <c r="J30" i="13"/>
  <c r="L37" i="13"/>
  <c r="C19" i="13"/>
  <c r="C12" i="13"/>
  <c r="N19" i="13"/>
  <c r="M31" i="13"/>
  <c r="J19" i="13"/>
  <c r="D123" i="13"/>
  <c r="C123" i="13"/>
  <c r="M105" i="13"/>
  <c r="N112" i="13"/>
  <c r="M42" i="13"/>
  <c r="K91" i="13"/>
  <c r="J42" i="13"/>
  <c r="L91" i="13"/>
  <c r="C42" i="13"/>
  <c r="K43" i="13"/>
  <c r="J91" i="13"/>
  <c r="H56" i="13"/>
  <c r="N63" i="13"/>
  <c r="F63" i="13"/>
  <c r="N92" i="13"/>
  <c r="M43" i="13"/>
  <c r="E42" i="13"/>
  <c r="L63" i="13"/>
  <c r="I42" i="13"/>
  <c r="M49" i="13"/>
  <c r="L56" i="13"/>
  <c r="J49" i="13"/>
  <c r="K44" i="13"/>
  <c r="J72" i="13"/>
  <c r="N43" i="13"/>
  <c r="M63" i="13"/>
  <c r="L72" i="13"/>
  <c r="H44" i="13"/>
  <c r="K98" i="13"/>
  <c r="N113" i="13"/>
  <c r="H70" i="13"/>
  <c r="F56" i="13"/>
  <c r="L84" i="13"/>
  <c r="F43" i="13"/>
  <c r="N105" i="13"/>
  <c r="J63" i="13"/>
  <c r="H72" i="13"/>
  <c r="H43" i="13"/>
  <c r="M77" i="13"/>
  <c r="K63" i="13"/>
  <c r="N42" i="13"/>
  <c r="N119" i="13"/>
  <c r="M64" i="13"/>
  <c r="F44" i="13"/>
  <c r="L57" i="13"/>
  <c r="K85" i="13"/>
  <c r="E44" i="13"/>
  <c r="E43" i="13"/>
  <c r="K124" i="13"/>
  <c r="K22" i="5" s="1"/>
  <c r="M100" i="13"/>
  <c r="L43" i="13"/>
  <c r="L85" i="13"/>
  <c r="E56" i="13"/>
  <c r="N64" i="13"/>
  <c r="I72" i="13"/>
  <c r="G42" i="13"/>
  <c r="N56" i="13"/>
  <c r="M86" i="13"/>
  <c r="L99" i="13"/>
  <c r="L98" i="13"/>
  <c r="N65" i="13"/>
  <c r="K65" i="13"/>
  <c r="K78" i="13"/>
  <c r="H71" i="13"/>
  <c r="N123" i="13"/>
  <c r="D44" i="13"/>
  <c r="M84" i="13"/>
  <c r="H124" i="13"/>
  <c r="H22" i="5" s="1"/>
  <c r="L123" i="13"/>
  <c r="N78" i="13"/>
  <c r="L64" i="13"/>
  <c r="J50" i="13"/>
  <c r="I71" i="13"/>
  <c r="K123" i="13"/>
  <c r="L100" i="13"/>
  <c r="J86" i="13"/>
  <c r="H65" i="13"/>
  <c r="I65" i="13"/>
  <c r="M79" i="13"/>
  <c r="L86" i="13"/>
  <c r="J65" i="13"/>
  <c r="J64" i="13"/>
  <c r="I44" i="13"/>
  <c r="L92" i="13"/>
  <c r="K84" i="13"/>
  <c r="N86" i="13"/>
  <c r="M65" i="13"/>
  <c r="L65" i="13"/>
  <c r="K92" i="13"/>
  <c r="J43" i="13"/>
  <c r="H57" i="13"/>
  <c r="N91" i="13"/>
  <c r="M58" i="13"/>
  <c r="G43" i="13"/>
  <c r="E19" i="6"/>
  <c r="D14" i="6"/>
  <c r="D15" i="6"/>
  <c r="L13" i="6"/>
  <c r="K18" i="2"/>
  <c r="I19" i="2"/>
  <c r="I24" i="11" s="1"/>
  <c r="I8" i="6"/>
  <c r="I9" i="6" s="1"/>
  <c r="H28" i="6"/>
  <c r="H29" i="6" s="1"/>
  <c r="E28" i="6"/>
  <c r="E29" i="6" s="1"/>
  <c r="J12" i="2"/>
  <c r="J13" i="2" s="1"/>
  <c r="K28" i="6"/>
  <c r="K29" i="6" s="1"/>
  <c r="H23" i="6"/>
  <c r="H24" i="6" s="1"/>
  <c r="G18" i="2"/>
  <c r="D23" i="6"/>
  <c r="D24" i="6" s="1"/>
  <c r="C8" i="6"/>
  <c r="C9" i="6" s="1"/>
  <c r="K13" i="6"/>
  <c r="K14" i="6" s="1"/>
  <c r="E19" i="2"/>
  <c r="E24" i="11" s="1"/>
  <c r="B28" i="6"/>
  <c r="B29" i="6" s="1"/>
  <c r="B16" i="2"/>
  <c r="B17" i="2" s="1"/>
  <c r="M9" i="6"/>
  <c r="K25" i="6"/>
  <c r="G18" i="6"/>
  <c r="N18" i="6" s="1"/>
  <c r="F8" i="6"/>
  <c r="F9" i="6" s="1"/>
  <c r="J14" i="6"/>
  <c r="N22" i="6"/>
  <c r="N25" i="6" s="1"/>
  <c r="G13" i="6"/>
  <c r="G14" i="6" s="1"/>
  <c r="E18" i="2"/>
  <c r="M19" i="2"/>
  <c r="M24" i="11" s="1"/>
  <c r="L23" i="6"/>
  <c r="L24" i="6" s="1"/>
  <c r="F13" i="6"/>
  <c r="F14" i="6" s="1"/>
  <c r="B23" i="6"/>
  <c r="B24" i="6" s="1"/>
  <c r="J18" i="5"/>
  <c r="J23" i="11"/>
  <c r="E30" i="6"/>
  <c r="G30" i="6"/>
  <c r="G29" i="6"/>
  <c r="F23" i="11"/>
  <c r="F18" i="5"/>
  <c r="L14" i="6"/>
  <c r="G24" i="6"/>
  <c r="B19" i="6"/>
  <c r="B20" i="6"/>
  <c r="M10" i="6"/>
  <c r="B12" i="2"/>
  <c r="B13" i="2" s="1"/>
  <c r="B14" i="2" s="1"/>
  <c r="H23" i="11"/>
  <c r="D19" i="2"/>
  <c r="D24" i="11" s="1"/>
  <c r="D16" i="2"/>
  <c r="E12" i="2"/>
  <c r="E13" i="2" s="1"/>
  <c r="B18" i="2"/>
  <c r="B14" i="6"/>
  <c r="H15" i="6"/>
  <c r="L19" i="2"/>
  <c r="L24" i="11" s="1"/>
  <c r="I16" i="2"/>
  <c r="I21" i="11" s="1"/>
  <c r="G19" i="2"/>
  <c r="G24" i="11" s="1"/>
  <c r="C25" i="6"/>
  <c r="I10" i="6"/>
  <c r="D25" i="6"/>
  <c r="H30" i="6"/>
  <c r="J8" i="6"/>
  <c r="J9" i="6" s="1"/>
  <c r="E8" i="6"/>
  <c r="E9" i="6" s="1"/>
  <c r="C21" i="11"/>
  <c r="J18" i="2"/>
  <c r="I10" i="5" s="1"/>
  <c r="I12" i="2"/>
  <c r="I13" i="2" s="1"/>
  <c r="C18" i="2"/>
  <c r="C12" i="2"/>
  <c r="C13" i="2" s="1"/>
  <c r="C14" i="2" s="1"/>
  <c r="D28" i="6"/>
  <c r="D29" i="6" s="1"/>
  <c r="F10" i="6"/>
  <c r="G25" i="6"/>
  <c r="M18" i="2"/>
  <c r="M12" i="2"/>
  <c r="M13" i="2" s="1"/>
  <c r="L19" i="6"/>
  <c r="H25" i="6"/>
  <c r="F19" i="6"/>
  <c r="E16" i="2"/>
  <c r="E21" i="11" s="1"/>
  <c r="N12" i="6"/>
  <c r="N15" i="6" s="1"/>
  <c r="C14" i="6"/>
  <c r="M16" i="2"/>
  <c r="M21" i="11" s="1"/>
  <c r="H19" i="2"/>
  <c r="H24" i="11" s="1"/>
  <c r="H16" i="2"/>
  <c r="H21" i="11" s="1"/>
  <c r="D18" i="2"/>
  <c r="C23" i="11" s="1"/>
  <c r="B9" i="6"/>
  <c r="J19" i="6"/>
  <c r="F18" i="2"/>
  <c r="D19" i="6"/>
  <c r="R31" i="3"/>
  <c r="K25" i="11"/>
  <c r="O31" i="3"/>
  <c r="B25" i="11"/>
  <c r="N31" i="3"/>
  <c r="H25" i="11"/>
  <c r="P31" i="3"/>
  <c r="G5" i="2"/>
  <c r="F5" i="14"/>
  <c r="F5" i="2"/>
  <c r="G5" i="14"/>
  <c r="F5" i="3"/>
  <c r="A60" i="13"/>
  <c r="F5" i="5"/>
  <c r="F33" i="5" s="1"/>
  <c r="C5" i="2"/>
  <c r="G5" i="11"/>
  <c r="D5" i="5"/>
  <c r="D33" i="5" s="1"/>
  <c r="L5" i="2"/>
  <c r="A116" i="13"/>
  <c r="M5" i="2"/>
  <c r="H7" i="13"/>
  <c r="A39" i="13"/>
  <c r="B5" i="2"/>
  <c r="B5" i="3"/>
  <c r="B5" i="11"/>
  <c r="C7" i="13"/>
  <c r="B5" i="14"/>
  <c r="E5" i="5"/>
  <c r="E33" i="5" s="1"/>
  <c r="D5" i="11"/>
  <c r="A53" i="13"/>
  <c r="E7" i="13"/>
  <c r="D5" i="14"/>
  <c r="D5" i="6"/>
  <c r="D47" i="6" s="1"/>
  <c r="D5" i="2"/>
  <c r="D5" i="3"/>
  <c r="J5" i="14"/>
  <c r="A95" i="13"/>
  <c r="K7" i="13"/>
  <c r="J7" i="13"/>
  <c r="A81" i="13"/>
  <c r="A88" i="13"/>
  <c r="I5" i="3"/>
  <c r="J5" i="11"/>
  <c r="L7" i="13"/>
  <c r="L5" i="14"/>
  <c r="I5" i="2"/>
  <c r="J5" i="3"/>
  <c r="K5" i="11"/>
  <c r="M7" i="13"/>
  <c r="M5" i="14"/>
  <c r="K5" i="3"/>
  <c r="L5" i="11"/>
  <c r="N7" i="13"/>
  <c r="C5" i="6"/>
  <c r="C47" i="6" s="1"/>
  <c r="K5" i="2"/>
  <c r="L5" i="3"/>
  <c r="C5" i="14"/>
  <c r="G5" i="5"/>
  <c r="G33" i="5" s="1"/>
  <c r="N49" i="13"/>
  <c r="F49" i="13"/>
  <c r="F123" i="13"/>
  <c r="G47" i="13"/>
  <c r="H47" i="13"/>
  <c r="E47" i="13"/>
  <c r="E50" i="13" s="1"/>
  <c r="E51" i="13" s="1"/>
  <c r="J51" i="13"/>
  <c r="L50" i="13"/>
  <c r="L51" i="13" s="1"/>
  <c r="M50" i="13"/>
  <c r="M51" i="13" s="1"/>
  <c r="I124" i="13"/>
  <c r="I22" i="5" s="1"/>
  <c r="D124" i="13"/>
  <c r="D22" i="5" s="1"/>
  <c r="N50" i="13"/>
  <c r="N51" i="13" s="1"/>
  <c r="L124" i="13"/>
  <c r="L22" i="5" s="1"/>
  <c r="K50" i="13"/>
  <c r="K51" i="13" s="1"/>
  <c r="A3" i="10"/>
  <c r="A3" i="3"/>
  <c r="A3" i="13"/>
  <c r="A3" i="6"/>
  <c r="E24" i="6"/>
  <c r="E25" i="6"/>
  <c r="A3" i="11"/>
  <c r="A3" i="5"/>
  <c r="G9" i="6"/>
  <c r="G10" i="6"/>
  <c r="E14" i="6"/>
  <c r="E15" i="6"/>
  <c r="C19" i="6"/>
  <c r="N17" i="6"/>
  <c r="N20" i="6" s="1"/>
  <c r="C20" i="6"/>
  <c r="N124" i="13"/>
  <c r="N22" i="5" s="1"/>
  <c r="N24" i="13"/>
  <c r="G124" i="13"/>
  <c r="G22" i="5" s="1"/>
  <c r="C125" i="13"/>
  <c r="C20" i="5" s="1"/>
  <c r="M57" i="13"/>
  <c r="N57" i="13"/>
  <c r="M123" i="13"/>
  <c r="M56" i="13"/>
  <c r="I78" i="13"/>
  <c r="H77" i="13"/>
  <c r="G19" i="6"/>
  <c r="G20" i="6"/>
  <c r="M124" i="13"/>
  <c r="M22" i="5" s="1"/>
  <c r="M18" i="13"/>
  <c r="F24" i="5"/>
  <c r="E5" i="2"/>
  <c r="E5" i="3"/>
  <c r="E5" i="11"/>
  <c r="F7" i="13"/>
  <c r="E5" i="14"/>
  <c r="E5" i="6"/>
  <c r="C18" i="5"/>
  <c r="N7" i="6"/>
  <c r="N10" i="6" s="1"/>
  <c r="C10" i="6"/>
  <c r="M24" i="6"/>
  <c r="M25" i="6"/>
  <c r="C30" i="6"/>
  <c r="N27" i="6"/>
  <c r="B18" i="13"/>
  <c r="B125" i="13" s="1"/>
  <c r="B20" i="5" s="1"/>
  <c r="B21" i="5" s="1"/>
  <c r="B28" i="5" s="1"/>
  <c r="B30" i="5" s="1"/>
  <c r="B29" i="5" s="1"/>
  <c r="B124" i="13"/>
  <c r="B22" i="5" s="1"/>
  <c r="J12" i="13"/>
  <c r="J124" i="13"/>
  <c r="J22" i="5" s="1"/>
  <c r="E124" i="13"/>
  <c r="E22" i="5" s="1"/>
  <c r="E18" i="13"/>
  <c r="J85" i="13"/>
  <c r="I123" i="13"/>
  <c r="K57" i="13"/>
  <c r="J56" i="13"/>
  <c r="J25" i="13"/>
  <c r="K25" i="13"/>
  <c r="J123" i="13"/>
  <c r="K9" i="6"/>
  <c r="K10" i="6"/>
  <c r="I14" i="6"/>
  <c r="I15" i="6"/>
  <c r="B23" i="11"/>
  <c r="A3" i="2"/>
  <c r="B5" i="6"/>
  <c r="B47" i="6" s="1"/>
  <c r="C5" i="5"/>
  <c r="C33" i="5" s="1"/>
  <c r="D8" i="6"/>
  <c r="M14" i="6"/>
  <c r="M15" i="6"/>
  <c r="K19" i="6"/>
  <c r="K20" i="6"/>
  <c r="I24" i="6"/>
  <c r="I25" i="6"/>
  <c r="F124" i="13"/>
  <c r="F22" i="5" s="1"/>
  <c r="F24" i="13"/>
  <c r="B10" i="6"/>
  <c r="L15" i="6"/>
  <c r="N106" i="13"/>
  <c r="M71" i="13"/>
  <c r="N71" i="13"/>
  <c r="M13" i="13"/>
  <c r="N13" i="13"/>
  <c r="I79" i="13"/>
  <c r="K79" i="13"/>
  <c r="J79" i="13"/>
  <c r="L79" i="13"/>
  <c r="M85" i="13"/>
  <c r="N85" i="13"/>
  <c r="M25" i="13"/>
  <c r="N25" i="13"/>
  <c r="J71" i="13"/>
  <c r="K71" i="13"/>
  <c r="J37" i="13"/>
  <c r="K37" i="13"/>
  <c r="J13" i="13"/>
  <c r="K13" i="13"/>
  <c r="H64" i="13"/>
  <c r="I64" i="13"/>
  <c r="I50" i="13"/>
  <c r="I51" i="13" s="1"/>
  <c r="G25" i="13"/>
  <c r="H25" i="13"/>
  <c r="B28" i="11"/>
  <c r="N28" i="11" s="1"/>
  <c r="B15" i="14"/>
  <c r="C12" i="5"/>
  <c r="D12" i="5" s="1"/>
  <c r="E12" i="5" s="1"/>
  <c r="F12" i="5" s="1"/>
  <c r="G12" i="5" s="1"/>
  <c r="H12" i="5" s="1"/>
  <c r="I12" i="5" s="1"/>
  <c r="J12" i="5" s="1"/>
  <c r="K12" i="5" s="1"/>
  <c r="L12" i="5" s="1"/>
  <c r="M12" i="5" s="1"/>
  <c r="N12" i="5" s="1"/>
  <c r="M99" i="13"/>
  <c r="N99" i="13"/>
  <c r="M37" i="13"/>
  <c r="N37" i="13"/>
  <c r="J57" i="13"/>
  <c r="J5" i="6"/>
  <c r="J47" i="6" s="1"/>
  <c r="K5" i="5"/>
  <c r="K33" i="5" s="1"/>
  <c r="I57" i="13"/>
  <c r="I25" i="13"/>
  <c r="F58" i="13"/>
  <c r="G58" i="13"/>
  <c r="I58" i="13"/>
  <c r="H58" i="13"/>
  <c r="G57" i="13"/>
  <c r="E25" i="13"/>
  <c r="F25" i="13"/>
  <c r="G37" i="13"/>
  <c r="H37" i="13"/>
  <c r="G13" i="13"/>
  <c r="H13" i="13"/>
  <c r="L5" i="6"/>
  <c r="L47" i="6" s="1"/>
  <c r="M5" i="5"/>
  <c r="M33" i="5" s="1"/>
  <c r="H5" i="6"/>
  <c r="H47" i="6" s="1"/>
  <c r="I5" i="5"/>
  <c r="I33" i="5" s="1"/>
  <c r="I19" i="13"/>
  <c r="I37" i="13"/>
  <c r="I13" i="13"/>
  <c r="C126" i="13"/>
  <c r="F17" i="2"/>
  <c r="F57" i="13"/>
  <c r="J19" i="2"/>
  <c r="J24" i="11" s="1"/>
  <c r="K12" i="2"/>
  <c r="G12" i="2"/>
  <c r="B21" i="11"/>
  <c r="M5" i="6"/>
  <c r="M47" i="6" s="1"/>
  <c r="N5" i="5"/>
  <c r="N33" i="5" s="1"/>
  <c r="K5" i="6"/>
  <c r="K47" i="6" s="1"/>
  <c r="L5" i="5"/>
  <c r="L33" i="5" s="1"/>
  <c r="I5" i="6"/>
  <c r="I47" i="6" s="1"/>
  <c r="J5" i="5"/>
  <c r="J33" i="5" s="1"/>
  <c r="G5" i="6"/>
  <c r="G47" i="6" s="1"/>
  <c r="H5" i="5"/>
  <c r="H33" i="5" s="1"/>
  <c r="L18" i="2"/>
  <c r="K16" i="2"/>
  <c r="I17" i="2"/>
  <c r="F19" i="2"/>
  <c r="F13" i="2"/>
  <c r="F14" i="2"/>
  <c r="D43" i="13"/>
  <c r="E31" i="13"/>
  <c r="E19" i="13"/>
  <c r="L16" i="2"/>
  <c r="K19" i="2"/>
  <c r="K24" i="11" s="1"/>
  <c r="J17" i="2"/>
  <c r="H18" i="2"/>
  <c r="G16" i="2"/>
  <c r="L12" i="2"/>
  <c r="H12" i="2"/>
  <c r="E14" i="2"/>
  <c r="D12" i="2"/>
  <c r="C20" i="2"/>
  <c r="C33" i="6" s="1"/>
  <c r="D127" i="13" l="1"/>
  <c r="C39" i="6" s="1"/>
  <c r="I125" i="13"/>
  <c r="I20" i="5" s="1"/>
  <c r="N127" i="13"/>
  <c r="M39" i="6" s="1"/>
  <c r="N19" i="6"/>
  <c r="J24" i="15" s="1"/>
  <c r="C128" i="13"/>
  <c r="B27" i="11" s="1"/>
  <c r="D126" i="13"/>
  <c r="D128" i="13" s="1"/>
  <c r="C27" i="11" s="1"/>
  <c r="L125" i="13"/>
  <c r="L20" i="5" s="1"/>
  <c r="E127" i="13"/>
  <c r="D39" i="6" s="1"/>
  <c r="K125" i="13"/>
  <c r="K20" i="5" s="1"/>
  <c r="N125" i="13"/>
  <c r="N20" i="5" s="1"/>
  <c r="M127" i="13"/>
  <c r="L39" i="6" s="1"/>
  <c r="K127" i="13"/>
  <c r="J39" i="6" s="1"/>
  <c r="M125" i="13"/>
  <c r="M20" i="5" s="1"/>
  <c r="F125" i="13"/>
  <c r="F20" i="5" s="1"/>
  <c r="N25" i="11"/>
  <c r="J127" i="13"/>
  <c r="I39" i="6" s="1"/>
  <c r="H50" i="13"/>
  <c r="H51" i="13" s="1"/>
  <c r="H127" i="13" s="1"/>
  <c r="G39" i="6" s="1"/>
  <c r="L127" i="13"/>
  <c r="K39" i="6" s="1"/>
  <c r="N13" i="6"/>
  <c r="N28" i="6"/>
  <c r="D23" i="11"/>
  <c r="D18" i="5"/>
  <c r="J14" i="2"/>
  <c r="J32" i="6" s="1"/>
  <c r="H17" i="2"/>
  <c r="N23" i="6"/>
  <c r="D10" i="5"/>
  <c r="E40" i="5" s="1"/>
  <c r="M17" i="2"/>
  <c r="M20" i="2" s="1"/>
  <c r="C10" i="5"/>
  <c r="D40" i="5" s="1"/>
  <c r="J40" i="5"/>
  <c r="H34" i="11"/>
  <c r="E10" i="5"/>
  <c r="F10" i="5"/>
  <c r="E23" i="11"/>
  <c r="E18" i="5"/>
  <c r="I14" i="2"/>
  <c r="K10" i="11" s="1"/>
  <c r="M14" i="2"/>
  <c r="M32" i="6" s="1"/>
  <c r="N14" i="6"/>
  <c r="J23" i="15" s="1"/>
  <c r="N24" i="6"/>
  <c r="J25" i="15" s="1"/>
  <c r="I18" i="5"/>
  <c r="I23" i="11"/>
  <c r="J10" i="5"/>
  <c r="N10" i="5"/>
  <c r="M34" i="11" s="1"/>
  <c r="N18" i="5"/>
  <c r="L18" i="5"/>
  <c r="M18" i="5"/>
  <c r="L23" i="11"/>
  <c r="M10" i="5"/>
  <c r="M23" i="11"/>
  <c r="E17" i="2"/>
  <c r="F22" i="11" s="1"/>
  <c r="D17" i="2"/>
  <c r="D21" i="11"/>
  <c r="I126" i="13"/>
  <c r="H126" i="13"/>
  <c r="E126" i="13"/>
  <c r="I127" i="13"/>
  <c r="H39" i="6" s="1"/>
  <c r="E49" i="13"/>
  <c r="E125" i="13" s="1"/>
  <c r="E20" i="5" s="1"/>
  <c r="F50" i="13"/>
  <c r="F51" i="13" s="1"/>
  <c r="F127" i="13" s="1"/>
  <c r="E39" i="6" s="1"/>
  <c r="E123" i="13"/>
  <c r="G50" i="13"/>
  <c r="G51" i="13" s="1"/>
  <c r="G127" i="13" s="1"/>
  <c r="F39" i="6" s="1"/>
  <c r="G123" i="13"/>
  <c r="G49" i="13"/>
  <c r="G125" i="13" s="1"/>
  <c r="G20" i="5" s="1"/>
  <c r="L126" i="13"/>
  <c r="H123" i="13"/>
  <c r="H49" i="13"/>
  <c r="H125" i="13" s="1"/>
  <c r="H20" i="5" s="1"/>
  <c r="M126" i="13"/>
  <c r="C32" i="3"/>
  <c r="C32" i="6"/>
  <c r="C8" i="11"/>
  <c r="D9" i="11"/>
  <c r="E10" i="11"/>
  <c r="F11" i="11"/>
  <c r="C7" i="11"/>
  <c r="C21" i="2"/>
  <c r="L13" i="2"/>
  <c r="L14" i="2" s="1"/>
  <c r="K23" i="11"/>
  <c r="L10" i="5"/>
  <c r="K10" i="5"/>
  <c r="K18" i="5"/>
  <c r="J125" i="13"/>
  <c r="J20" i="5" s="1"/>
  <c r="E32" i="6"/>
  <c r="E32" i="3"/>
  <c r="E8" i="11"/>
  <c r="G10" i="11"/>
  <c r="E7" i="11"/>
  <c r="F9" i="11"/>
  <c r="H11" i="11"/>
  <c r="D9" i="6"/>
  <c r="N9" i="6" s="1"/>
  <c r="J22" i="15" s="1"/>
  <c r="N8" i="6"/>
  <c r="H21" i="6"/>
  <c r="H42" i="6"/>
  <c r="H26" i="6"/>
  <c r="E47" i="6"/>
  <c r="H11" i="6"/>
  <c r="H31" i="6"/>
  <c r="H16" i="6"/>
  <c r="H37" i="6"/>
  <c r="G10" i="5"/>
  <c r="G23" i="11"/>
  <c r="H10" i="5"/>
  <c r="G18" i="5"/>
  <c r="K13" i="2"/>
  <c r="K14" i="2" s="1"/>
  <c r="G24" i="5"/>
  <c r="J20" i="2"/>
  <c r="J33" i="6" s="1"/>
  <c r="F24" i="11"/>
  <c r="N24" i="11" s="1"/>
  <c r="N19" i="2"/>
  <c r="B32" i="3"/>
  <c r="B32" i="6"/>
  <c r="B8" i="11"/>
  <c r="D10" i="11"/>
  <c r="E11" i="11"/>
  <c r="C9" i="11"/>
  <c r="B7" i="11"/>
  <c r="H13" i="2"/>
  <c r="H14" i="2" s="1"/>
  <c r="K22" i="11"/>
  <c r="F32" i="6"/>
  <c r="F32" i="3"/>
  <c r="F7" i="11"/>
  <c r="G9" i="11"/>
  <c r="F8" i="11"/>
  <c r="H10" i="11"/>
  <c r="I11" i="11"/>
  <c r="J22" i="11"/>
  <c r="I20" i="2"/>
  <c r="I33" i="6" s="1"/>
  <c r="F20" i="2"/>
  <c r="F33" i="6" s="1"/>
  <c r="C15" i="14"/>
  <c r="B35" i="6"/>
  <c r="C13" i="5"/>
  <c r="K126" i="13"/>
  <c r="D13" i="2"/>
  <c r="D14" i="2" s="1"/>
  <c r="N12" i="2"/>
  <c r="L17" i="2"/>
  <c r="L20" i="2" s="1"/>
  <c r="L33" i="6" s="1"/>
  <c r="L21" i="11"/>
  <c r="C22" i="11"/>
  <c r="I22" i="11"/>
  <c r="N18" i="2"/>
  <c r="I21" i="2"/>
  <c r="G17" i="2"/>
  <c r="G21" i="11"/>
  <c r="N16" i="2"/>
  <c r="E20" i="2"/>
  <c r="E33" i="6" s="1"/>
  <c r="K17" i="2"/>
  <c r="K20" i="2" s="1"/>
  <c r="K33" i="6" s="1"/>
  <c r="K21" i="11"/>
  <c r="B20" i="2"/>
  <c r="G13" i="2"/>
  <c r="G14" i="2" s="1"/>
  <c r="G22" i="11"/>
  <c r="H20" i="2"/>
  <c r="H33" i="6" s="1"/>
  <c r="J126" i="13"/>
  <c r="N126" i="13"/>
  <c r="N128" i="13" s="1"/>
  <c r="M27" i="11" s="1"/>
  <c r="N29" i="6"/>
  <c r="J26" i="15" s="1"/>
  <c r="N30" i="6"/>
  <c r="K128" i="13" l="1"/>
  <c r="J27" i="11" s="1"/>
  <c r="L10" i="11"/>
  <c r="J9" i="11"/>
  <c r="J21" i="2"/>
  <c r="I8" i="11"/>
  <c r="L11" i="11"/>
  <c r="J7" i="11"/>
  <c r="I7" i="11"/>
  <c r="M11" i="11"/>
  <c r="K9" i="11"/>
  <c r="J8" i="11"/>
  <c r="M8" i="11"/>
  <c r="J32" i="3"/>
  <c r="J33" i="3" s="1"/>
  <c r="J35" i="3" s="1"/>
  <c r="I32" i="3"/>
  <c r="I32" i="6"/>
  <c r="M7" i="11"/>
  <c r="M32" i="3"/>
  <c r="M33" i="3" s="1"/>
  <c r="M35" i="3" s="1"/>
  <c r="C34" i="11"/>
  <c r="M128" i="13"/>
  <c r="L27" i="11" s="1"/>
  <c r="E128" i="13"/>
  <c r="D27" i="11" s="1"/>
  <c r="J128" i="13"/>
  <c r="I27" i="11" s="1"/>
  <c r="H128" i="13"/>
  <c r="G27" i="11" s="1"/>
  <c r="L128" i="13"/>
  <c r="K27" i="11" s="1"/>
  <c r="N39" i="6"/>
  <c r="F126" i="13"/>
  <c r="F128" i="13" s="1"/>
  <c r="E27" i="11" s="1"/>
  <c r="M33" i="6"/>
  <c r="M21" i="2"/>
  <c r="B34" i="11"/>
  <c r="N17" i="2"/>
  <c r="N21" i="11"/>
  <c r="E22" i="11"/>
  <c r="D20" i="2"/>
  <c r="D33" i="6" s="1"/>
  <c r="N40" i="5"/>
  <c r="L34" i="11"/>
  <c r="G40" i="5"/>
  <c r="E34" i="11"/>
  <c r="N23" i="11"/>
  <c r="E21" i="2"/>
  <c r="F40" i="5"/>
  <c r="D34" i="11"/>
  <c r="K40" i="5"/>
  <c r="I34" i="11"/>
  <c r="D13" i="5"/>
  <c r="G126" i="13"/>
  <c r="G128" i="13" s="1"/>
  <c r="F27" i="11" s="1"/>
  <c r="I128" i="13"/>
  <c r="H27" i="11" s="1"/>
  <c r="K32" i="6"/>
  <c r="M10" i="11"/>
  <c r="K32" i="3"/>
  <c r="K7" i="11"/>
  <c r="L9" i="11"/>
  <c r="K8" i="11"/>
  <c r="K21" i="2"/>
  <c r="G32" i="3"/>
  <c r="G8" i="11"/>
  <c r="G32" i="6"/>
  <c r="G7" i="11"/>
  <c r="H9" i="11"/>
  <c r="I10" i="11"/>
  <c r="J11" i="11"/>
  <c r="C12" i="11"/>
  <c r="C19" i="11" s="1"/>
  <c r="B33" i="6"/>
  <c r="B34" i="6" s="1"/>
  <c r="G20" i="2"/>
  <c r="G33" i="6" s="1"/>
  <c r="I54" i="6"/>
  <c r="I34" i="6"/>
  <c r="I49" i="6"/>
  <c r="I53" i="6"/>
  <c r="I50" i="6"/>
  <c r="I51" i="6"/>
  <c r="I52" i="6"/>
  <c r="C35" i="6"/>
  <c r="D15" i="14"/>
  <c r="E13" i="5" s="1"/>
  <c r="F21" i="2"/>
  <c r="B54" i="6"/>
  <c r="B53" i="6"/>
  <c r="B51" i="6"/>
  <c r="B52" i="6"/>
  <c r="B49" i="6"/>
  <c r="B50" i="6"/>
  <c r="F34" i="11"/>
  <c r="H40" i="5"/>
  <c r="L32" i="6"/>
  <c r="L32" i="3"/>
  <c r="L7" i="11"/>
  <c r="L8" i="11"/>
  <c r="M9" i="11"/>
  <c r="L21" i="2"/>
  <c r="C54" i="6"/>
  <c r="C34" i="6"/>
  <c r="C52" i="6"/>
  <c r="C49" i="6"/>
  <c r="C50" i="6"/>
  <c r="C53" i="6"/>
  <c r="C51" i="6"/>
  <c r="H22" i="11"/>
  <c r="M54" i="6"/>
  <c r="M34" i="6"/>
  <c r="M50" i="6"/>
  <c r="M52" i="6"/>
  <c r="M53" i="6"/>
  <c r="M49" i="6"/>
  <c r="M51" i="6"/>
  <c r="M22" i="11"/>
  <c r="F33" i="3"/>
  <c r="F35" i="3" s="1"/>
  <c r="B21" i="2"/>
  <c r="B33" i="3"/>
  <c r="B35" i="3" s="1"/>
  <c r="E33" i="3"/>
  <c r="E35" i="3" s="1"/>
  <c r="J34" i="11"/>
  <c r="L40" i="5"/>
  <c r="C33" i="3"/>
  <c r="C35" i="3" s="1"/>
  <c r="D32" i="6"/>
  <c r="D32" i="3"/>
  <c r="D7" i="11"/>
  <c r="E9" i="11"/>
  <c r="E12" i="11" s="1"/>
  <c r="E19" i="11" s="1"/>
  <c r="F10" i="11"/>
  <c r="F12" i="11" s="1"/>
  <c r="F19" i="11" s="1"/>
  <c r="G11" i="11"/>
  <c r="D8" i="11"/>
  <c r="D21" i="2"/>
  <c r="H32" i="6"/>
  <c r="H32" i="3"/>
  <c r="H7" i="11"/>
  <c r="H8" i="11"/>
  <c r="I9" i="11"/>
  <c r="J10" i="11"/>
  <c r="K11" i="11"/>
  <c r="H21" i="2"/>
  <c r="L22" i="11"/>
  <c r="J54" i="6"/>
  <c r="J34" i="6"/>
  <c r="J49" i="6"/>
  <c r="J50" i="6"/>
  <c r="J52" i="6"/>
  <c r="J51" i="6"/>
  <c r="J53" i="6"/>
  <c r="N13" i="2"/>
  <c r="N14" i="2" s="1"/>
  <c r="F54" i="6"/>
  <c r="F34" i="6"/>
  <c r="F49" i="6"/>
  <c r="F50" i="6"/>
  <c r="F52" i="6"/>
  <c r="F51" i="6"/>
  <c r="F53" i="6"/>
  <c r="B12" i="11"/>
  <c r="B19" i="11" s="1"/>
  <c r="B33" i="11"/>
  <c r="H24" i="5"/>
  <c r="G34" i="11"/>
  <c r="I40" i="5"/>
  <c r="E54" i="6"/>
  <c r="E34" i="6"/>
  <c r="E51" i="6"/>
  <c r="E53" i="6"/>
  <c r="E52" i="6"/>
  <c r="E49" i="6"/>
  <c r="E50" i="6"/>
  <c r="K34" i="11"/>
  <c r="M40" i="5"/>
  <c r="I35" i="3" l="1"/>
  <c r="N32" i="3"/>
  <c r="I33" i="3"/>
  <c r="N27" i="11"/>
  <c r="J12" i="11"/>
  <c r="J19" i="11" s="1"/>
  <c r="N22" i="11"/>
  <c r="N9" i="11"/>
  <c r="M12" i="11"/>
  <c r="M19" i="11" s="1"/>
  <c r="I12" i="11"/>
  <c r="I19" i="11" s="1"/>
  <c r="N11" i="11"/>
  <c r="N8" i="11"/>
  <c r="L12" i="11"/>
  <c r="L19" i="11" s="1"/>
  <c r="K12" i="11"/>
  <c r="K19" i="11" s="1"/>
  <c r="P7" i="11"/>
  <c r="I24" i="5"/>
  <c r="O7" i="11"/>
  <c r="H12" i="11"/>
  <c r="H19" i="11" s="1"/>
  <c r="L33" i="3"/>
  <c r="L35" i="3" s="1"/>
  <c r="D35" i="6"/>
  <c r="E15" i="14"/>
  <c r="F13" i="5" s="1"/>
  <c r="M36" i="6"/>
  <c r="N19" i="5"/>
  <c r="N21" i="5" s="1"/>
  <c r="G21" i="2"/>
  <c r="N21" i="2" s="1"/>
  <c r="G12" i="11"/>
  <c r="G19" i="11" s="1"/>
  <c r="K33" i="3"/>
  <c r="D54" i="6"/>
  <c r="D34" i="6"/>
  <c r="D49" i="6"/>
  <c r="D50" i="6"/>
  <c r="D51" i="6"/>
  <c r="D53" i="6"/>
  <c r="D52" i="6"/>
  <c r="C33" i="11"/>
  <c r="C9" i="5"/>
  <c r="C39" i="5" s="1"/>
  <c r="H33" i="3"/>
  <c r="H35" i="3"/>
  <c r="D12" i="11"/>
  <c r="D19" i="11" s="1"/>
  <c r="D26" i="11"/>
  <c r="D19" i="5"/>
  <c r="D21" i="5" s="1"/>
  <c r="C36" i="6"/>
  <c r="C38" i="6" s="1"/>
  <c r="C40" i="6" s="1"/>
  <c r="F26" i="11"/>
  <c r="E36" i="6"/>
  <c r="F19" i="5"/>
  <c r="F21" i="5" s="1"/>
  <c r="B36" i="6"/>
  <c r="B38" i="6" s="1"/>
  <c r="B40" i="6" s="1"/>
  <c r="C26" i="11"/>
  <c r="C19" i="5"/>
  <c r="C21" i="5" s="1"/>
  <c r="G26" i="11"/>
  <c r="F36" i="6"/>
  <c r="G19" i="5"/>
  <c r="G21" i="5" s="1"/>
  <c r="K26" i="11"/>
  <c r="J36" i="6"/>
  <c r="K19" i="5"/>
  <c r="K21" i="5" s="1"/>
  <c r="L54" i="6"/>
  <c r="L34" i="6"/>
  <c r="L53" i="6"/>
  <c r="L49" i="6"/>
  <c r="L50" i="6"/>
  <c r="L52" i="6"/>
  <c r="L51" i="6"/>
  <c r="N20" i="2"/>
  <c r="G54" i="6"/>
  <c r="G34" i="6"/>
  <c r="G53" i="6"/>
  <c r="G49" i="6"/>
  <c r="G50" i="6"/>
  <c r="G52" i="6"/>
  <c r="G51" i="6"/>
  <c r="N32" i="6"/>
  <c r="A4" i="6" s="1"/>
  <c r="G33" i="3"/>
  <c r="N7" i="11"/>
  <c r="H54" i="6"/>
  <c r="H53" i="6"/>
  <c r="H51" i="6"/>
  <c r="H34" i="6"/>
  <c r="H49" i="6"/>
  <c r="H50" i="6"/>
  <c r="H52" i="6"/>
  <c r="D33" i="3"/>
  <c r="N10" i="11"/>
  <c r="J26" i="11"/>
  <c r="I36" i="6"/>
  <c r="J19" i="5"/>
  <c r="J21" i="5" s="1"/>
  <c r="N33" i="6"/>
  <c r="K54" i="6"/>
  <c r="K34" i="6"/>
  <c r="K51" i="6"/>
  <c r="K49" i="6"/>
  <c r="K50" i="6"/>
  <c r="K52" i="6"/>
  <c r="K53" i="6"/>
  <c r="N34" i="6" l="1"/>
  <c r="N19" i="11"/>
  <c r="N12" i="11"/>
  <c r="B41" i="6"/>
  <c r="B43" i="6" s="1"/>
  <c r="C25" i="5" s="1"/>
  <c r="D36" i="6"/>
  <c r="D38" i="6" s="1"/>
  <c r="D40" i="6" s="1"/>
  <c r="E26" i="11"/>
  <c r="E19" i="5"/>
  <c r="E21" i="5" s="1"/>
  <c r="C37" i="5"/>
  <c r="C36" i="5"/>
  <c r="N33" i="3"/>
  <c r="N35" i="3" s="1"/>
  <c r="J24" i="5"/>
  <c r="C41" i="6"/>
  <c r="C29" i="11" s="1"/>
  <c r="C30" i="11" s="1"/>
  <c r="O33" i="3"/>
  <c r="D37" i="5"/>
  <c r="D36" i="5"/>
  <c r="H36" i="6"/>
  <c r="I26" i="11"/>
  <c r="Q33" i="3"/>
  <c r="I19" i="5"/>
  <c r="I21" i="5" s="1"/>
  <c r="D33" i="11"/>
  <c r="D9" i="5"/>
  <c r="D39" i="5" s="1"/>
  <c r="E35" i="6"/>
  <c r="E38" i="6" s="1"/>
  <c r="E40" i="6" s="1"/>
  <c r="F15" i="14"/>
  <c r="G36" i="6"/>
  <c r="H26" i="11"/>
  <c r="H19" i="5"/>
  <c r="H21" i="5" s="1"/>
  <c r="K36" i="6"/>
  <c r="L26" i="11"/>
  <c r="R33" i="3"/>
  <c r="L19" i="5"/>
  <c r="L21" i="5" s="1"/>
  <c r="D35" i="3"/>
  <c r="G35" i="3"/>
  <c r="P33" i="3"/>
  <c r="K35" i="3"/>
  <c r="L36" i="6"/>
  <c r="M26" i="11"/>
  <c r="M19" i="5"/>
  <c r="M21" i="5" s="1"/>
  <c r="N26" i="11" l="1"/>
  <c r="C43" i="6"/>
  <c r="D25" i="5" s="1"/>
  <c r="D41" i="6"/>
  <c r="D29" i="11" s="1"/>
  <c r="D30" i="11" s="1"/>
  <c r="C26" i="5"/>
  <c r="E9" i="5"/>
  <c r="E39" i="5" s="1"/>
  <c r="E33" i="11"/>
  <c r="N36" i="6"/>
  <c r="N38" i="6" s="1"/>
  <c r="N40" i="6" s="1"/>
  <c r="K24" i="5"/>
  <c r="F35" i="6"/>
  <c r="G15" i="14"/>
  <c r="G13" i="5"/>
  <c r="B29" i="11"/>
  <c r="E41" i="6"/>
  <c r="E29" i="11" s="1"/>
  <c r="E30" i="11" s="1"/>
  <c r="E43" i="6" l="1"/>
  <c r="G35" i="6"/>
  <c r="G38" i="6" s="1"/>
  <c r="G40" i="6" s="1"/>
  <c r="H15" i="14"/>
  <c r="F38" i="6"/>
  <c r="F40" i="6" s="1"/>
  <c r="C34" i="5"/>
  <c r="C38" i="5"/>
  <c r="C28" i="5"/>
  <c r="D26" i="5"/>
  <c r="F9" i="5"/>
  <c r="F39" i="5" s="1"/>
  <c r="F33" i="11"/>
  <c r="B30" i="11"/>
  <c r="H13" i="5"/>
  <c r="I13" i="5" s="1"/>
  <c r="L24" i="5"/>
  <c r="D43" i="6"/>
  <c r="E25" i="5" s="1"/>
  <c r="F25" i="5" l="1"/>
  <c r="E26" i="5"/>
  <c r="F41" i="6"/>
  <c r="F43" i="6" s="1"/>
  <c r="M24" i="5"/>
  <c r="D34" i="5"/>
  <c r="D38" i="5"/>
  <c r="D28" i="5"/>
  <c r="H35" i="6"/>
  <c r="H38" i="6" s="1"/>
  <c r="H40" i="6" s="1"/>
  <c r="I15" i="14"/>
  <c r="J13" i="5" s="1"/>
  <c r="B31" i="11"/>
  <c r="G33" i="11"/>
  <c r="G9" i="5"/>
  <c r="G39" i="5" s="1"/>
  <c r="G41" i="6"/>
  <c r="G29" i="11" s="1"/>
  <c r="G30" i="11" s="1"/>
  <c r="G43" i="6" l="1"/>
  <c r="J15" i="14"/>
  <c r="I35" i="6"/>
  <c r="I38" i="6" s="1"/>
  <c r="I40" i="6" s="1"/>
  <c r="F29" i="11"/>
  <c r="H9" i="5"/>
  <c r="H39" i="5" s="1"/>
  <c r="H33" i="11"/>
  <c r="H41" i="6"/>
  <c r="H29" i="11" s="1"/>
  <c r="H30" i="11" s="1"/>
  <c r="E34" i="5"/>
  <c r="E38" i="5"/>
  <c r="E28" i="5"/>
  <c r="K13" i="5"/>
  <c r="C6" i="11"/>
  <c r="C31" i="11" s="1"/>
  <c r="C8" i="5"/>
  <c r="C11" i="5" s="1"/>
  <c r="C14" i="5" s="1"/>
  <c r="N24" i="5"/>
  <c r="G25" i="5"/>
  <c r="F26" i="5"/>
  <c r="H25" i="5" l="1"/>
  <c r="G26" i="5"/>
  <c r="I9" i="5"/>
  <c r="I39" i="5" s="1"/>
  <c r="I33" i="11"/>
  <c r="F38" i="5"/>
  <c r="F34" i="5"/>
  <c r="F28" i="5"/>
  <c r="F30" i="11"/>
  <c r="D6" i="11"/>
  <c r="D31" i="11" s="1"/>
  <c r="D8" i="5"/>
  <c r="D11" i="5" s="1"/>
  <c r="D14" i="5" s="1"/>
  <c r="I41" i="6"/>
  <c r="I29" i="11" s="1"/>
  <c r="I30" i="11" s="1"/>
  <c r="C35" i="5"/>
  <c r="C30" i="5"/>
  <c r="C29" i="5" s="1"/>
  <c r="H43" i="6"/>
  <c r="K15" i="14"/>
  <c r="L13" i="5" s="1"/>
  <c r="J35" i="6"/>
  <c r="J38" i="6" s="1"/>
  <c r="J40" i="6" s="1"/>
  <c r="I43" i="6" l="1"/>
  <c r="E8" i="5"/>
  <c r="E6" i="11"/>
  <c r="E31" i="11" s="1"/>
  <c r="J33" i="11"/>
  <c r="J9" i="5"/>
  <c r="J39" i="5" s="1"/>
  <c r="J41" i="6"/>
  <c r="J43" i="6" s="1"/>
  <c r="G34" i="5"/>
  <c r="G38" i="5"/>
  <c r="G28" i="5"/>
  <c r="K35" i="6"/>
  <c r="K38" i="6" s="1"/>
  <c r="K40" i="6" s="1"/>
  <c r="L15" i="14"/>
  <c r="D35" i="5"/>
  <c r="D30" i="5"/>
  <c r="D29" i="5" s="1"/>
  <c r="I25" i="5"/>
  <c r="H26" i="5"/>
  <c r="E11" i="5" l="1"/>
  <c r="E37" i="5"/>
  <c r="K9" i="5"/>
  <c r="K39" i="5" s="1"/>
  <c r="K33" i="11"/>
  <c r="H34" i="5"/>
  <c r="H38" i="5"/>
  <c r="H28" i="5"/>
  <c r="J29" i="11"/>
  <c r="F6" i="11"/>
  <c r="F31" i="11" s="1"/>
  <c r="F8" i="5"/>
  <c r="L35" i="6"/>
  <c r="L38" i="6" s="1"/>
  <c r="L40" i="6" s="1"/>
  <c r="M15" i="14"/>
  <c r="J25" i="5"/>
  <c r="I26" i="5"/>
  <c r="K41" i="6"/>
  <c r="K29" i="11" s="1"/>
  <c r="K30" i="11" s="1"/>
  <c r="M13" i="5"/>
  <c r="F11" i="5" l="1"/>
  <c r="F37" i="5"/>
  <c r="E14" i="5"/>
  <c r="E36" i="5"/>
  <c r="M35" i="6"/>
  <c r="N15" i="14"/>
  <c r="N13" i="5"/>
  <c r="I34" i="5"/>
  <c r="I38" i="5"/>
  <c r="I28" i="5"/>
  <c r="K25" i="5"/>
  <c r="J26" i="5"/>
  <c r="L41" i="6"/>
  <c r="L29" i="11" s="1"/>
  <c r="L30" i="11" s="1"/>
  <c r="K43" i="6"/>
  <c r="J30" i="11"/>
  <c r="L9" i="5"/>
  <c r="L39" i="5" s="1"/>
  <c r="L33" i="11"/>
  <c r="G8" i="5"/>
  <c r="G6" i="11"/>
  <c r="G31" i="11" s="1"/>
  <c r="E35" i="5" l="1"/>
  <c r="E30" i="5"/>
  <c r="E29" i="5" s="1"/>
  <c r="G11" i="5"/>
  <c r="G37" i="5"/>
  <c r="F14" i="5"/>
  <c r="F36" i="5"/>
  <c r="M9" i="5"/>
  <c r="M39" i="5" s="1"/>
  <c r="M33" i="11"/>
  <c r="N9" i="5" s="1"/>
  <c r="N39" i="5" s="1"/>
  <c r="J34" i="5"/>
  <c r="J38" i="5"/>
  <c r="J28" i="5"/>
  <c r="L25" i="5"/>
  <c r="K26" i="5"/>
  <c r="H6" i="11"/>
  <c r="H31" i="11" s="1"/>
  <c r="H8" i="5"/>
  <c r="L43" i="6"/>
  <c r="M38" i="6"/>
  <c r="M40" i="6" s="1"/>
  <c r="N35" i="6"/>
  <c r="G14" i="5" l="1"/>
  <c r="G36" i="5"/>
  <c r="H11" i="5"/>
  <c r="H37" i="5"/>
  <c r="F30" i="5"/>
  <c r="F29" i="5" s="1"/>
  <c r="F35" i="5"/>
  <c r="K34" i="5"/>
  <c r="K38" i="5"/>
  <c r="K28" i="5"/>
  <c r="I6" i="11"/>
  <c r="I31" i="11" s="1"/>
  <c r="I8" i="5"/>
  <c r="M25" i="5"/>
  <c r="L26" i="5"/>
  <c r="M41" i="6"/>
  <c r="M43" i="6" s="1"/>
  <c r="H14" i="5" l="1"/>
  <c r="H36" i="5"/>
  <c r="I11" i="5"/>
  <c r="I37" i="5"/>
  <c r="G35" i="5"/>
  <c r="G30" i="5"/>
  <c r="G29" i="5" s="1"/>
  <c r="J6" i="11"/>
  <c r="J31" i="11" s="1"/>
  <c r="J8" i="5"/>
  <c r="L34" i="5"/>
  <c r="L38" i="5"/>
  <c r="L28" i="5"/>
  <c r="N25" i="5"/>
  <c r="N26" i="5" s="1"/>
  <c r="M26" i="5"/>
  <c r="M29" i="11"/>
  <c r="N41" i="6"/>
  <c r="N43" i="6" s="1"/>
  <c r="I14" i="5" l="1"/>
  <c r="I36" i="5"/>
  <c r="J11" i="5"/>
  <c r="J37" i="5"/>
  <c r="H35" i="5"/>
  <c r="H30" i="5"/>
  <c r="H29" i="5" s="1"/>
  <c r="M34" i="5"/>
  <c r="M38" i="5"/>
  <c r="M28" i="5"/>
  <c r="N38" i="5"/>
  <c r="N34" i="5"/>
  <c r="N28" i="5"/>
  <c r="M30" i="11"/>
  <c r="N30" i="11" s="1"/>
  <c r="N29" i="11"/>
  <c r="K6" i="11"/>
  <c r="K31" i="11" s="1"/>
  <c r="K8" i="5"/>
  <c r="J14" i="5" l="1"/>
  <c r="J36" i="5"/>
  <c r="K11" i="5"/>
  <c r="K37" i="5"/>
  <c r="I30" i="5"/>
  <c r="I29" i="5" s="1"/>
  <c r="I35" i="5"/>
  <c r="L6" i="11"/>
  <c r="L31" i="11" s="1"/>
  <c r="L8" i="5"/>
  <c r="K14" i="5" l="1"/>
  <c r="K36" i="5"/>
  <c r="L11" i="5"/>
  <c r="L37" i="5"/>
  <c r="J30" i="5"/>
  <c r="J29" i="5" s="1"/>
  <c r="J35" i="5"/>
  <c r="M8" i="5"/>
  <c r="M6" i="11"/>
  <c r="M31" i="11" s="1"/>
  <c r="N8" i="5" s="1"/>
  <c r="L14" i="5" l="1"/>
  <c r="L36" i="5"/>
  <c r="N11" i="5"/>
  <c r="N37" i="5"/>
  <c r="M11" i="5"/>
  <c r="M37" i="5"/>
  <c r="K35" i="5"/>
  <c r="K30" i="5"/>
  <c r="K29" i="5" s="1"/>
  <c r="N14" i="5" l="1"/>
  <c r="N36" i="5"/>
  <c r="M14" i="5"/>
  <c r="M36" i="5"/>
  <c r="L35" i="5"/>
  <c r="L30" i="5"/>
  <c r="L29" i="5" s="1"/>
  <c r="M35" i="5" l="1"/>
  <c r="M30" i="5"/>
  <c r="M29" i="5" s="1"/>
  <c r="N35" i="5"/>
  <c r="N30" i="5"/>
  <c r="N29" i="5" s="1"/>
</calcChain>
</file>

<file path=xl/comments1.xml><?xml version="1.0" encoding="utf-8"?>
<comments xmlns="http://schemas.openxmlformats.org/spreadsheetml/2006/main">
  <authors>
    <author>Melissa Dunning</author>
  </authors>
  <commentList>
    <comment ref="A10" authorId="0" shapeId="0">
      <text>
        <r>
          <rPr>
            <b/>
            <sz val="8"/>
            <color indexed="81"/>
            <rFont val="Tahoma"/>
          </rPr>
          <t>This is a sample of hover text.  As you move through the spreadsheet, look for these red triangles.</t>
        </r>
      </text>
    </comment>
  </commentList>
</comments>
</file>

<file path=xl/comments2.xml><?xml version="1.0" encoding="utf-8"?>
<comments xmlns="http://schemas.openxmlformats.org/spreadsheetml/2006/main">
  <authors>
    <author>Melissa Dunning</author>
  </authors>
  <commentList>
    <comment ref="A5" authorId="0" shapeId="0">
      <text>
        <r>
          <rPr>
            <b/>
            <sz val="8"/>
            <color indexed="81"/>
            <rFont val="Tahoma"/>
          </rPr>
          <t>Percent of total sales that are paid with cash or credit cards.</t>
        </r>
      </text>
    </comment>
    <comment ref="A6" authorId="0" shapeId="0">
      <text>
        <r>
          <rPr>
            <b/>
            <sz val="8"/>
            <color indexed="81"/>
            <rFont val="Tahoma"/>
          </rPr>
          <t>Percentage of sales that are not paid on the same day as the sale, that go into the A/R.</t>
        </r>
      </text>
    </comment>
    <comment ref="A14" authorId="0" shapeId="0">
      <text>
        <r>
          <rPr>
            <b/>
            <sz val="8"/>
            <color indexed="81"/>
            <rFont val="Tahoma"/>
          </rPr>
          <t>This percentage will be applied to total sales as an estimate for discounts, returns and allowances.</t>
        </r>
      </text>
    </comment>
    <comment ref="A16" authorId="0" shapeId="0">
      <text>
        <r>
          <rPr>
            <b/>
            <sz val="8"/>
            <color indexed="81"/>
            <rFont val="Tahoma"/>
          </rPr>
          <t>More inventory on hand creates more of a cash flow challenge, as the materials are paid for sooner.</t>
        </r>
      </text>
    </comment>
    <comment ref="A17" authorId="0" shapeId="0">
      <text>
        <r>
          <rPr>
            <b/>
            <sz val="8"/>
            <color indexed="81"/>
            <rFont val="Tahoma"/>
          </rPr>
          <t>Stretching out payables can ease cash flow challenges.</t>
        </r>
      </text>
    </comment>
    <comment ref="A18" authorId="0" shapeId="0">
      <text>
        <r>
          <rPr>
            <b/>
            <sz val="8"/>
            <color indexed="81"/>
            <rFont val="Tahoma"/>
          </rPr>
          <t>Insert a rate here even if you are an LLC or S Corp, etc, as the tax is a part of the expense of business.</t>
        </r>
      </text>
    </comment>
    <comment ref="A19" authorId="0" shapeId="0">
      <text>
        <r>
          <rPr>
            <b/>
            <sz val="8"/>
            <color indexed="81"/>
            <rFont val="Tahoma"/>
          </rPr>
          <t>This percentage is applied to the Net Sales to determine commissions.  Payroll tax is also added.</t>
        </r>
      </text>
    </comment>
    <comment ref="F49" authorId="0" shapeId="0">
      <text>
        <r>
          <rPr>
            <b/>
            <sz val="8"/>
            <color indexed="81"/>
            <rFont val="Tahoma"/>
          </rPr>
          <t>Profits or losses retained in the company since the company was started.</t>
        </r>
      </text>
    </comment>
    <comment ref="F52" authorId="0" shapeId="0">
      <text>
        <r>
          <rPr>
            <b/>
            <sz val="8"/>
            <color indexed="81"/>
            <rFont val="Tahoma"/>
          </rPr>
          <t>This represents the total claims against the assets.  This number equals total assets if the balance sheet is in balance.</t>
        </r>
      </text>
    </comment>
  </commentList>
</comments>
</file>

<file path=xl/comments3.xml><?xml version="1.0" encoding="utf-8"?>
<comments xmlns="http://schemas.openxmlformats.org/spreadsheetml/2006/main">
  <authors>
    <author>DKing</author>
    <author>Melissa Dunning</author>
  </authors>
  <commentList>
    <comment ref="A6" authorId="0" shapeId="0">
      <text>
        <r>
          <rPr>
            <b/>
            <sz val="9"/>
            <color indexed="81"/>
            <rFont val="Tahoma"/>
            <charset val="1"/>
          </rPr>
          <t>DKing:</t>
        </r>
        <r>
          <rPr>
            <sz val="9"/>
            <color indexed="81"/>
            <rFont val="Tahoma"/>
            <charset val="1"/>
          </rPr>
          <t xml:space="preserve">
See user manual on how to use this worksheet if your business is non-manufacturing</t>
        </r>
      </text>
    </comment>
    <comment ref="A33" authorId="1" shapeId="0">
      <text>
        <r>
          <rPr>
            <b/>
            <sz val="8"/>
            <color indexed="81"/>
            <rFont val="Tahoma"/>
          </rPr>
          <t>This includes 15% of all personnel expenses, for FICA and Medicare costs.</t>
        </r>
      </text>
    </comment>
  </commentList>
</comments>
</file>

<file path=xl/comments4.xml><?xml version="1.0" encoding="utf-8"?>
<comments xmlns="http://schemas.openxmlformats.org/spreadsheetml/2006/main">
  <authors>
    <author>Melissa Dunning</author>
    <author>Melissa J. Dunning</author>
  </authors>
  <commentList>
    <comment ref="A12" authorId="0" shapeId="0">
      <text>
        <r>
          <rPr>
            <b/>
            <sz val="8"/>
            <color indexed="81"/>
            <rFont val="Tahoma"/>
          </rPr>
          <t>Fifteen percent of the labor expense is added automatically here to pay FICA &amp; Medicare taxes.</t>
        </r>
      </text>
    </comment>
    <comment ref="A14" authorId="1" shapeId="0">
      <text>
        <r>
          <rPr>
            <b/>
            <sz val="8"/>
            <color indexed="81"/>
            <rFont val="Tahoma"/>
          </rPr>
          <t>This field can be changed to be additional cost of goods sold.</t>
        </r>
      </text>
    </comment>
    <comment ref="A17" authorId="0" shapeId="0">
      <text>
        <r>
          <rPr>
            <b/>
            <sz val="8"/>
            <color indexed="81"/>
            <rFont val="Tahoma"/>
          </rPr>
          <t>These prices and costs apply when monthly sales volumes are between 0 and this figure.</t>
        </r>
      </text>
    </comment>
    <comment ref="A28" authorId="0" shapeId="0">
      <text>
        <r>
          <rPr>
            <b/>
            <sz val="8"/>
            <color indexed="81"/>
            <rFont val="Tahoma"/>
          </rPr>
          <t>These prices and costs apply when monthly sales are between the two volumes.</t>
        </r>
      </text>
    </comment>
  </commentList>
</comments>
</file>

<file path=xl/comments5.xml><?xml version="1.0" encoding="utf-8"?>
<comments xmlns="http://schemas.openxmlformats.org/spreadsheetml/2006/main">
  <authors>
    <author>Melissa Dunning</author>
  </authors>
  <commentList>
    <comment ref="A15" authorId="0" shapeId="0">
      <text>
        <r>
          <rPr>
            <b/>
            <sz val="8"/>
            <color indexed="81"/>
            <rFont val="Tahoma"/>
          </rPr>
          <t>Enter the interest rate as a number between 0 and 100.</t>
        </r>
      </text>
    </comment>
    <comment ref="A16" authorId="0" shapeId="0">
      <text>
        <r>
          <rPr>
            <b/>
            <sz val="8"/>
            <color indexed="81"/>
            <rFont val="Tahoma"/>
          </rPr>
          <t>Leave the length blank if this is an interest only loan.</t>
        </r>
      </text>
    </comment>
    <comment ref="A22" authorId="0" shapeId="0">
      <text>
        <r>
          <rPr>
            <b/>
            <sz val="8"/>
            <color indexed="81"/>
            <rFont val="Tahoma"/>
          </rPr>
          <t>We assume that payroll taxes are paid in the month following the payroll.</t>
        </r>
      </text>
    </comment>
  </commentList>
</comments>
</file>

<file path=xl/comments6.xml><?xml version="1.0" encoding="utf-8"?>
<comments xmlns="http://schemas.openxmlformats.org/spreadsheetml/2006/main">
  <authors>
    <author>Melissa Dunning</author>
  </authors>
  <commentList>
    <comment ref="A10" authorId="0" shapeId="0">
      <text>
        <r>
          <rPr>
            <b/>
            <sz val="8"/>
            <color indexed="81"/>
            <rFont val="Tahoma"/>
          </rPr>
          <t>This is the principle due AFTER the payment is made.</t>
        </r>
      </text>
    </comment>
    <comment ref="A11" authorId="0" shapeId="0">
      <text>
        <r>
          <rPr>
            <b/>
            <sz val="8"/>
            <color indexed="81"/>
            <rFont val="Tahoma"/>
          </rPr>
          <t xml:space="preserve">Principle due after the first year.
</t>
        </r>
      </text>
    </comment>
    <comment ref="A12" authorId="0" shapeId="0">
      <text>
        <r>
          <rPr>
            <b/>
            <sz val="8"/>
            <color indexed="81"/>
            <rFont val="Tahoma"/>
          </rPr>
          <t>Principle due in the first year.</t>
        </r>
      </text>
    </comment>
    <comment ref="A13" authorId="0" shapeId="0">
      <text>
        <r>
          <rPr>
            <b/>
            <sz val="8"/>
            <color indexed="81"/>
            <rFont val="Tahoma"/>
          </rPr>
          <t>Principle paid in this month's payment.</t>
        </r>
      </text>
    </comment>
    <comment ref="A14" authorId="0" shapeId="0">
      <text>
        <r>
          <rPr>
            <b/>
            <sz val="8"/>
            <color indexed="81"/>
            <rFont val="Tahoma"/>
          </rPr>
          <t>Interest paid in this month's payment.</t>
        </r>
      </text>
    </comment>
  </commentList>
</comments>
</file>

<file path=xl/comments7.xml><?xml version="1.0" encoding="utf-8"?>
<comments xmlns="http://schemas.openxmlformats.org/spreadsheetml/2006/main">
  <authors>
    <author>Melissa Dunning</author>
  </authors>
  <commentList>
    <comment ref="A2" authorId="0" shapeId="0">
      <text>
        <r>
          <rPr>
            <b/>
            <sz val="8"/>
            <color indexed="81"/>
            <rFont val="Tahoma"/>
          </rPr>
          <t>Reflects financial status of te company at a point in time.</t>
        </r>
      </text>
    </comment>
    <comment ref="A41" authorId="0" shapeId="0">
      <text>
        <r>
          <rPr>
            <b/>
            <sz val="8"/>
            <color indexed="81"/>
            <rFont val="Tahoma"/>
          </rPr>
          <t>Tax is a cost of doing business, regardless of who pays the tax (the company or the individual).</t>
        </r>
      </text>
    </comment>
    <comment ref="A43" authorId="0" shapeId="0">
      <text>
        <r>
          <rPr>
            <b/>
            <sz val="8"/>
            <color indexed="81"/>
            <rFont val="Tahoma"/>
          </rPr>
          <t>Losses are shown in red, profits are shown in black.</t>
        </r>
      </text>
    </comment>
    <comment ref="A49" authorId="0" shapeId="0">
      <text>
        <r>
          <rPr>
            <b/>
            <sz val="8"/>
            <color indexed="81"/>
            <rFont val="Tahoma"/>
          </rPr>
          <t>The percent of sales spent on producing the product or service.</t>
        </r>
      </text>
    </comment>
    <comment ref="A50" authorId="0" shapeId="0">
      <text>
        <r>
          <rPr>
            <b/>
            <sz val="8"/>
            <color indexed="81"/>
            <rFont val="Tahoma"/>
          </rPr>
          <t>The percent of sales left to pay operating overhead and profit.</t>
        </r>
      </text>
    </comment>
    <comment ref="A51" authorId="0" shapeId="0">
      <text>
        <r>
          <rPr>
            <b/>
            <sz val="8"/>
            <color indexed="81"/>
            <rFont val="Tahoma"/>
          </rPr>
          <t xml:space="preserve">The percent of sales spent on operating overhead.
</t>
        </r>
      </text>
    </comment>
    <comment ref="A52" authorId="0" shapeId="0">
      <text>
        <r>
          <rPr>
            <b/>
            <sz val="8"/>
            <color indexed="81"/>
            <rFont val="Tahoma"/>
          </rPr>
          <t>The percent of sales spent on non-operating expenditures, such as interest expense.</t>
        </r>
      </text>
    </comment>
    <comment ref="A53" authorId="0" shapeId="0">
      <text>
        <r>
          <rPr>
            <b/>
            <sz val="8"/>
            <color indexed="81"/>
            <rFont val="Tahoma"/>
          </rPr>
          <t>The percent of sales remaining to be invested in the company.</t>
        </r>
      </text>
    </comment>
    <comment ref="A54" authorId="0" shapeId="0">
      <text>
        <r>
          <rPr>
            <b/>
            <sz val="8"/>
            <color indexed="81"/>
            <rFont val="Tahoma"/>
          </rPr>
          <t xml:space="preserve">The minimum monthly 
sales volume required to cover expenses (variable and fixed).
</t>
        </r>
      </text>
    </comment>
  </commentList>
</comments>
</file>

<file path=xl/comments8.xml><?xml version="1.0" encoding="utf-8"?>
<comments xmlns="http://schemas.openxmlformats.org/spreadsheetml/2006/main">
  <authors>
    <author>Melissa Dunning</author>
  </authors>
  <commentList>
    <comment ref="A2" authorId="0" shapeId="0">
      <text>
        <r>
          <rPr>
            <b/>
            <sz val="8"/>
            <color indexed="81"/>
            <rFont val="Tahoma"/>
          </rPr>
          <t>Reflects financial status of te company at a point in time.</t>
        </r>
      </text>
    </comment>
    <comment ref="A25" authorId="0" shapeId="0">
      <text>
        <r>
          <rPr>
            <b/>
            <sz val="8"/>
            <color indexed="81"/>
            <rFont val="Tahoma"/>
          </rPr>
          <t>Profits or losses retained in the company since the company was started.</t>
        </r>
      </text>
    </comment>
    <comment ref="A28" authorId="0" shapeId="0">
      <text>
        <r>
          <rPr>
            <b/>
            <sz val="8"/>
            <color indexed="81"/>
            <rFont val="Tahoma"/>
          </rPr>
          <t>This represents the total claims against the assets.  This number equals total assets if the balance sheet is in balance.</t>
        </r>
      </text>
    </comment>
    <comment ref="O33" authorId="0" shapeId="0">
      <text>
        <r>
          <rPr>
            <b/>
            <sz val="8"/>
            <color indexed="81"/>
            <rFont val="Tahoma"/>
          </rPr>
          <t>Robert Moore Associates industry averages are available at any library.</t>
        </r>
      </text>
    </comment>
    <comment ref="A34" authorId="0" shapeId="0">
      <text>
        <r>
          <rPr>
            <b/>
            <sz val="8"/>
            <color indexed="81"/>
            <rFont val="Tahoma"/>
          </rPr>
          <t>Net income / equity: This measures the profit generated for every dollar invested in the company.</t>
        </r>
      </text>
    </comment>
    <comment ref="A35" authorId="0" shapeId="0">
      <text>
        <r>
          <rPr>
            <b/>
            <sz val="8"/>
            <color indexed="81"/>
            <rFont val="Tahoma"/>
          </rPr>
          <t>Net income/ total assets:  Profit generated for every dollar of assets in the business.</t>
        </r>
      </text>
    </comment>
    <comment ref="A36" authorId="0" shapeId="0">
      <text>
        <r>
          <rPr>
            <b/>
            <sz val="8"/>
            <color indexed="81"/>
            <rFont val="Tahoma"/>
          </rPr>
          <t>Current assets / current debt:  This is an indication of the company's ability to pay its current debt.</t>
        </r>
      </text>
    </comment>
    <comment ref="A37" authorId="0" shapeId="0">
      <text>
        <r>
          <rPr>
            <b/>
            <sz val="8"/>
            <color indexed="81"/>
            <rFont val="Tahoma"/>
          </rPr>
          <t>Cash+A/R/current debt:  A more conservative ratio of the company's ability to pay current debt.</t>
        </r>
      </text>
    </comment>
    <comment ref="A38" authorId="0" shapeId="0">
      <text>
        <r>
          <rPr>
            <b/>
            <sz val="8"/>
            <color indexed="81"/>
            <rFont val="Tahoma"/>
          </rPr>
          <t>Debt / equity: This measures the relationship between total debt and owner equity.</t>
        </r>
      </text>
    </comment>
    <comment ref="A39" authorId="0" shapeId="0">
      <text>
        <r>
          <rPr>
            <b/>
            <sz val="8"/>
            <color indexed="81"/>
            <rFont val="Tahoma"/>
          </rPr>
          <t>Sales / AR:  This measures the number of times that trade receivables turn over in a year.</t>
        </r>
      </text>
    </comment>
    <comment ref="A40" authorId="0" shapeId="0">
      <text>
        <r>
          <rPr>
            <b/>
            <sz val="8"/>
            <color indexed="81"/>
            <rFont val="Tahoma"/>
          </rPr>
          <t>COGS/Inventory:  This measures the number of times that inventory is turned over during the year.</t>
        </r>
      </text>
    </comment>
  </commentList>
</comments>
</file>

<file path=xl/sharedStrings.xml><?xml version="1.0" encoding="utf-8"?>
<sst xmlns="http://schemas.openxmlformats.org/spreadsheetml/2006/main" count="423" uniqueCount="267">
  <si>
    <t>Expense</t>
  </si>
  <si>
    <t>Supplies</t>
  </si>
  <si>
    <t>Advertising</t>
  </si>
  <si>
    <t>Rent</t>
  </si>
  <si>
    <t>Utilities</t>
  </si>
  <si>
    <t>Insurance</t>
  </si>
  <si>
    <t>May</t>
  </si>
  <si>
    <t>By Quarter</t>
  </si>
  <si>
    <t>Quarter 1</t>
  </si>
  <si>
    <t>Quarter 2</t>
  </si>
  <si>
    <t>Quarter 3</t>
  </si>
  <si>
    <t>Quarter 4</t>
  </si>
  <si>
    <t>Jan</t>
  </si>
  <si>
    <t>Feb</t>
  </si>
  <si>
    <t>Mar</t>
  </si>
  <si>
    <t>Apr</t>
  </si>
  <si>
    <t>Jun</t>
  </si>
  <si>
    <t>Jul</t>
  </si>
  <si>
    <t>Aug</t>
  </si>
  <si>
    <t>Sep</t>
  </si>
  <si>
    <t>Oct</t>
  </si>
  <si>
    <t>Nov</t>
  </si>
  <si>
    <t>Dec</t>
  </si>
  <si>
    <t>Total</t>
  </si>
  <si>
    <t>Accounting/Legal</t>
  </si>
  <si>
    <t>Gross profit</t>
  </si>
  <si>
    <t>Operating expenses</t>
  </si>
  <si>
    <t>Operating profit</t>
  </si>
  <si>
    <t>Less interest expense</t>
  </si>
  <si>
    <t>Less income taxes</t>
  </si>
  <si>
    <t>Profit before income taxes</t>
  </si>
  <si>
    <t>Percentage Profit Analysis</t>
  </si>
  <si>
    <t>Net sales</t>
  </si>
  <si>
    <t>Cost of sales</t>
  </si>
  <si>
    <t>All other expenses</t>
  </si>
  <si>
    <t>Profit before taxes</t>
  </si>
  <si>
    <t>Industry</t>
  </si>
  <si>
    <t>Assets</t>
  </si>
  <si>
    <t xml:space="preserve">   Current assets</t>
  </si>
  <si>
    <t xml:space="preserve">      Cash</t>
  </si>
  <si>
    <t xml:space="preserve">      Accounts receivable</t>
  </si>
  <si>
    <t xml:space="preserve">      Inventory</t>
  </si>
  <si>
    <t xml:space="preserve">   Total current assets</t>
  </si>
  <si>
    <t xml:space="preserve">   Property, plant &amp; equipment</t>
  </si>
  <si>
    <t xml:space="preserve">   Less accumulated depreciation</t>
  </si>
  <si>
    <t>Total assets</t>
  </si>
  <si>
    <t>Liabilites and stockholders' equity</t>
  </si>
  <si>
    <t xml:space="preserve">   Current liabilities</t>
  </si>
  <si>
    <t xml:space="preserve">      Accounts payable</t>
  </si>
  <si>
    <t xml:space="preserve">      Accrued payable</t>
  </si>
  <si>
    <t xml:space="preserve">      Notes payable</t>
  </si>
  <si>
    <t xml:space="preserve">   Total current liabilities</t>
  </si>
  <si>
    <t>Stockholders' equity</t>
  </si>
  <si>
    <t xml:space="preserve">   Capital stock</t>
  </si>
  <si>
    <t xml:space="preserve">   Retained earnings</t>
  </si>
  <si>
    <t>Total stockholders' equity</t>
  </si>
  <si>
    <t>Current ratio</t>
  </si>
  <si>
    <t>Quick ratio</t>
  </si>
  <si>
    <t>Debt to worth ratio</t>
  </si>
  <si>
    <t>Net income/loss</t>
  </si>
  <si>
    <r>
      <t>INPUT INSTRUCTIONS:</t>
    </r>
    <r>
      <rPr>
        <sz val="10"/>
        <rFont val="Arial"/>
      </rPr>
      <t xml:space="preserve">  Some cells will automatically guide you as you type your entries.  For example, click on the blue cell to the right of Company Name below.  You will see your input instructions.</t>
    </r>
  </si>
  <si>
    <r>
      <t>RED TRIANGLES:</t>
    </r>
    <r>
      <rPr>
        <sz val="10"/>
        <rFont val="Arial"/>
      </rPr>
      <t xml:space="preserve">  Some cells are not meant for input, but also have some tips and instruction for you.  When you see a red triangle in the upper right hand corner of a cell, hover over that cell to see more explanation.  For example, hover over this cell and you will see the words "This is a sample of hover text."</t>
    </r>
  </si>
  <si>
    <t>1-1</t>
  </si>
  <si>
    <t>3x</t>
  </si>
  <si>
    <t>Sales to receivables</t>
  </si>
  <si>
    <t>Cost of sales to inventory</t>
  </si>
  <si>
    <t>7.5 turns</t>
  </si>
  <si>
    <t>8.2 turns</t>
  </si>
  <si>
    <t>Ratio Asset Analysis</t>
  </si>
  <si>
    <t>FREQUENTLY ASKED QUESTIONS</t>
  </si>
  <si>
    <r>
      <t xml:space="preserve">BLUE CELLS: </t>
    </r>
    <r>
      <rPr>
        <sz val="10"/>
        <rFont val="Arial"/>
      </rPr>
      <t xml:space="preserve"> As you progress through the various worksheets, type into the blue cells only.  All other cells contain formulas and will be automatically calculated.  </t>
    </r>
  </si>
  <si>
    <r>
      <t>How do I start a new year?</t>
    </r>
    <r>
      <rPr>
        <sz val="10"/>
        <rFont val="Arial"/>
      </rPr>
      <t xml:space="preserve">  You should start a new (blank) spreadsheet for each time period that you would like to analyze.  </t>
    </r>
  </si>
  <si>
    <r>
      <t>The numbers I type in turn into ######.  Why?</t>
    </r>
    <r>
      <rPr>
        <sz val="10"/>
        <rFont val="Arial"/>
      </rPr>
      <t xml:space="preserve">  This is an indication that you have typed in a number that is wider than the column provided.  To cure this, simply expand the width of the column.</t>
    </r>
  </si>
  <si>
    <r>
      <t>How do I expand the width of a column?</t>
    </r>
    <r>
      <rPr>
        <sz val="10"/>
        <rFont val="Arial"/>
      </rPr>
      <t xml:space="preserve">  If you hover the mouse over the right hand side of the column header, it will turn into a cross.  Click and hold while you move to the right.</t>
    </r>
  </si>
  <si>
    <t xml:space="preserve">   Net Sales</t>
  </si>
  <si>
    <t>Property Taxes</t>
  </si>
  <si>
    <t xml:space="preserve">   Cost of Goods Sold</t>
  </si>
  <si>
    <t xml:space="preserve">   Gross Profit</t>
  </si>
  <si>
    <t>Total COGS</t>
  </si>
  <si>
    <t>Total Net Sales</t>
  </si>
  <si>
    <t>Total Cost of Goods Sold</t>
  </si>
  <si>
    <t xml:space="preserve">   Long term debt</t>
  </si>
  <si>
    <t>Return on investment (after tax)</t>
  </si>
  <si>
    <t>Return on assets (after tax)</t>
  </si>
  <si>
    <t>Total liabilities and stockholders' equity</t>
  </si>
  <si>
    <r>
      <t xml:space="preserve">NOTE:  </t>
    </r>
    <r>
      <rPr>
        <sz val="10"/>
        <rFont val="Arial"/>
        <family val="2"/>
      </rPr>
      <t>This is not meant to be used as an accounting system.  It is instead a financial management tool.  You should maintain your business records as usual.</t>
    </r>
  </si>
  <si>
    <t>Product Name</t>
  </si>
  <si>
    <t>Total Units</t>
  </si>
  <si>
    <t>PROJECTED OPERATING EXPENSES</t>
  </si>
  <si>
    <t>Administration Salaries</t>
  </si>
  <si>
    <t>Sales Salaries</t>
  </si>
  <si>
    <t>Officer Salaries</t>
  </si>
  <si>
    <t>Payroll Taxes</t>
  </si>
  <si>
    <t>Repairs/Maintenance</t>
  </si>
  <si>
    <t>Telephone</t>
  </si>
  <si>
    <t>Computers</t>
  </si>
  <si>
    <t>Other Expenses</t>
  </si>
  <si>
    <t>Sales Commissions</t>
  </si>
  <si>
    <t>Sales commissions rate</t>
  </si>
  <si>
    <t>Total Revenue</t>
  </si>
  <si>
    <t>PROJECTED CASH FLOW</t>
  </si>
  <si>
    <t>Total Cash Collected</t>
  </si>
  <si>
    <t>Beginning Cash</t>
  </si>
  <si>
    <t>Loans</t>
  </si>
  <si>
    <t>Equity</t>
  </si>
  <si>
    <t>Total Cash Inflow</t>
  </si>
  <si>
    <t xml:space="preserve">   COGS:  Labor</t>
  </si>
  <si>
    <t xml:space="preserve">   COGS:  Payroll Taxes</t>
  </si>
  <si>
    <t xml:space="preserve">   COGS:  Materials</t>
  </si>
  <si>
    <t xml:space="preserve">   Operating Expenses</t>
  </si>
  <si>
    <t>Ending Cash</t>
  </si>
  <si>
    <t xml:space="preserve">   Cash Sales</t>
  </si>
  <si>
    <t xml:space="preserve">   Credit (0-30 days)</t>
  </si>
  <si>
    <t xml:space="preserve">   Credit (31-60 days)</t>
  </si>
  <si>
    <t xml:space="preserve">   Credit (61-90 days)</t>
  </si>
  <si>
    <t xml:space="preserve">   Credit (91+ days)</t>
  </si>
  <si>
    <t>Travel</t>
  </si>
  <si>
    <t>Company Name</t>
  </si>
  <si>
    <t>By Year</t>
  </si>
  <si>
    <t>ASSUMPTIONS</t>
  </si>
  <si>
    <r>
      <t>GETTING STARTED:</t>
    </r>
    <r>
      <rPr>
        <sz val="10"/>
        <rFont val="Arial"/>
      </rPr>
      <t xml:space="preserve">  The following blue cells are all that you need to enter in order to get started.  Once you have entered these, click on each of the tabs at the bottom to progress through each of the worksheets.  Have fun!  Be profitable!</t>
    </r>
  </si>
  <si>
    <t xml:space="preserve">   Principle</t>
  </si>
  <si>
    <t xml:space="preserve">   Interest</t>
  </si>
  <si>
    <t xml:space="preserve">   Principle paid</t>
  </si>
  <si>
    <t xml:space="preserve">   Interest paid</t>
  </si>
  <si>
    <t xml:space="preserve">   Interest Rate</t>
  </si>
  <si>
    <t xml:space="preserve">   Length in months</t>
  </si>
  <si>
    <t xml:space="preserve">   Due short term</t>
  </si>
  <si>
    <t xml:space="preserve">   Due long term</t>
  </si>
  <si>
    <t>Beginning</t>
  </si>
  <si>
    <t xml:space="preserve">   Principle due</t>
  </si>
  <si>
    <t xml:space="preserve">   Monthly payment</t>
  </si>
  <si>
    <t>Total For All Loans</t>
  </si>
  <si>
    <t xml:space="preserve">   Total payment</t>
  </si>
  <si>
    <t xml:space="preserve">   Current monthly payment</t>
  </si>
  <si>
    <t>Percentage of credit sales</t>
  </si>
  <si>
    <t>Percentage of cash sales</t>
  </si>
  <si>
    <t xml:space="preserve">   paid within 30 days</t>
  </si>
  <si>
    <t xml:space="preserve">   paid in 31-60 days</t>
  </si>
  <si>
    <t xml:space="preserve">   paid in 61-90 days</t>
  </si>
  <si>
    <t xml:space="preserve">   paid in 90+ days</t>
  </si>
  <si>
    <t>Income tax rate</t>
  </si>
  <si>
    <t>Product return rate is expected to be</t>
  </si>
  <si>
    <t xml:space="preserve">   Price (Per Item)</t>
  </si>
  <si>
    <t xml:space="preserve">   Cost of Goods Sold (Per Item)</t>
  </si>
  <si>
    <t xml:space="preserve">      Labor</t>
  </si>
  <si>
    <t xml:space="preserve">      Materials</t>
  </si>
  <si>
    <t xml:space="preserve">   Total COGS</t>
  </si>
  <si>
    <t xml:space="preserve">   Gross Profit (Per Item)</t>
  </si>
  <si>
    <t xml:space="preserve">   Max monthly sales volumes</t>
  </si>
  <si>
    <t xml:space="preserve">      Payroll taxes</t>
  </si>
  <si>
    <t>Line1Price</t>
  </si>
  <si>
    <t>Line3Price</t>
  </si>
  <si>
    <t>Line2Price</t>
  </si>
  <si>
    <t>Line4Price</t>
  </si>
  <si>
    <t>Line5Price</t>
  </si>
  <si>
    <t>Net Sales</t>
  </si>
  <si>
    <t>Returns</t>
  </si>
  <si>
    <t>Line1COGS</t>
  </si>
  <si>
    <t>Line2COGS</t>
  </si>
  <si>
    <t>Line3COGS</t>
  </si>
  <si>
    <t>Line4COGS</t>
  </si>
  <si>
    <t>Line5COGS</t>
  </si>
  <si>
    <t>Line1Materials</t>
  </si>
  <si>
    <t>Line2Materials</t>
  </si>
  <si>
    <t>Line3Materials</t>
  </si>
  <si>
    <t>Line4Materials</t>
  </si>
  <si>
    <t>Line5Materials</t>
  </si>
  <si>
    <t>Line1Labor</t>
  </si>
  <si>
    <t>Line2Labor</t>
  </si>
  <si>
    <t>Line3Labor</t>
  </si>
  <si>
    <t>Line4Labor</t>
  </si>
  <si>
    <t>Line5Labor</t>
  </si>
  <si>
    <t>Line1Freight</t>
  </si>
  <si>
    <t>Line2Freight</t>
  </si>
  <si>
    <t>Line3Freight</t>
  </si>
  <si>
    <t>Line4Freight</t>
  </si>
  <si>
    <t>Line5Freight</t>
  </si>
  <si>
    <t xml:space="preserve">   Income Taxes</t>
  </si>
  <si>
    <t xml:space="preserve">   Loan Payments</t>
  </si>
  <si>
    <t>PROJECTED SALES (in number of units)</t>
  </si>
  <si>
    <t>PROJECTED LOANS</t>
  </si>
  <si>
    <t>PROJECTED EQUIPMENT PURCHASES</t>
  </si>
  <si>
    <t>Equipment</t>
  </si>
  <si>
    <t xml:space="preserve">   Equipment Purchase</t>
  </si>
  <si>
    <t>Depreciation</t>
  </si>
  <si>
    <t>Operating Cash Outflow</t>
  </si>
  <si>
    <t>Starting month</t>
  </si>
  <si>
    <t>Low Sales Volume</t>
  </si>
  <si>
    <t>Medium Sales Volume</t>
  </si>
  <si>
    <t>High Sales Volume</t>
  </si>
  <si>
    <t>These figures reflect the pricing</t>
  </si>
  <si>
    <t>and costs when monthly sales</t>
  </si>
  <si>
    <t>are lower than the values entered</t>
  </si>
  <si>
    <t>are higher than the values entered</t>
  </si>
  <si>
    <t xml:space="preserve">   Sales where customers pay immediately.</t>
  </si>
  <si>
    <t xml:space="preserve">   Sales when customers pay later.</t>
  </si>
  <si>
    <t>How quickly do your customers pay?</t>
  </si>
  <si>
    <t>You want to keep inventory on hand for</t>
  </si>
  <si>
    <t xml:space="preserve">      months of projected sales</t>
  </si>
  <si>
    <t>You pay your bills within</t>
  </si>
  <si>
    <t xml:space="preserve">      months after purchase</t>
  </si>
  <si>
    <t xml:space="preserve">   as of the last of the previous month</t>
  </si>
  <si>
    <t>Accounts receivable</t>
  </si>
  <si>
    <t>Inventory</t>
  </si>
  <si>
    <t>Property, plant &amp; equipment</t>
  </si>
  <si>
    <t>Accumulated depreciation</t>
  </si>
  <si>
    <t>Accounts payable</t>
  </si>
  <si>
    <t>Accrued payable</t>
  </si>
  <si>
    <t>Retained Earnings</t>
  </si>
  <si>
    <t>Capital stock</t>
  </si>
  <si>
    <t>Previous</t>
  </si>
  <si>
    <t>From your Balance Sheet:</t>
  </si>
  <si>
    <t xml:space="preserve">   If all of your customers pay immediately,</t>
  </si>
  <si>
    <t xml:space="preserve">   you can ignore this section.</t>
  </si>
  <si>
    <t xml:space="preserve">  </t>
  </si>
  <si>
    <t xml:space="preserve">   Fill out this section only if you have a </t>
  </si>
  <si>
    <t xml:space="preserve">   business that is already in operation.</t>
  </si>
  <si>
    <t>PROJECTED INCOME STATEMENT</t>
  </si>
  <si>
    <t>PROJECTED BALANCE SHEET</t>
  </si>
  <si>
    <t>PROJECTED PRODUCT PRICING (per unit)</t>
  </si>
  <si>
    <t xml:space="preserve">Other   </t>
  </si>
  <si>
    <t>Personnel</t>
  </si>
  <si>
    <t>Accounts Receivable</t>
  </si>
  <si>
    <t>SubTotal</t>
  </si>
  <si>
    <t xml:space="preserve">   OE: PR Taxes &amp; Comm</t>
  </si>
  <si>
    <t>Gross Profit</t>
  </si>
  <si>
    <t>Total Operating Expenses</t>
  </si>
  <si>
    <t>are lower than the volumes</t>
  </si>
  <si>
    <t>on line 27, but higher than the</t>
  </si>
  <si>
    <t>values entered on line 16.</t>
  </si>
  <si>
    <t>Enter next cutpoint here.</t>
  </si>
  <si>
    <t>Enter first cutpoint here.</t>
  </si>
  <si>
    <t>entered as on line 16.</t>
  </si>
  <si>
    <t>on line 27.</t>
  </si>
  <si>
    <r>
      <t xml:space="preserve">Why are payroll taxes shown separately?  </t>
    </r>
    <r>
      <rPr>
        <sz val="10"/>
        <rFont val="Arial"/>
        <family val="2"/>
      </rPr>
      <t>In this model, it is assumed that your payroll taxes are paid in the month after payroll, since this is true for most small busineses.  If your payroll is large enough, or if you are using a payroll service, you are probably paying your payroll taxes in the same month with the payroll.  If this is the case, your cash flow will be worse than the numbers presented here.</t>
    </r>
  </si>
  <si>
    <r>
      <t xml:space="preserve">Why are sales commissions shown as an Operating Expense rather than a variable cost of goods sold?  </t>
    </r>
    <r>
      <rPr>
        <sz val="10"/>
        <rFont val="Arial"/>
        <family val="2"/>
      </rPr>
      <t>The Cost of Goods Sold should contain only those expenses that are production related.  The sales-related expense of commissions is more appropriately included in the Operating Expense category.</t>
    </r>
  </si>
  <si>
    <r>
      <t xml:space="preserve">When are sales commissions paid in this model?  </t>
    </r>
    <r>
      <rPr>
        <sz val="10"/>
        <rFont val="Arial"/>
        <family val="2"/>
      </rPr>
      <t>This model assumes that your sales commissions are paid in the month after the sales are made.  In many companies, sales commissions are not paid until the customer pays.  If this is the case in your business, then your cash flow may be better than the numbers presented here.</t>
    </r>
  </si>
  <si>
    <r>
      <t xml:space="preserve">How is depreciation calculated? </t>
    </r>
    <r>
      <rPr>
        <sz val="10"/>
        <rFont val="Arial"/>
        <family val="2"/>
      </rPr>
      <t xml:space="preserve"> In this model, it is assumed that any equipment that you purchase will be straight line depreciated over five years.  If you have other depreciation schedules, then your Income Statement and Balance Sheet will differ from that which is presented here.</t>
    </r>
  </si>
  <si>
    <t>Existing Loans</t>
  </si>
  <si>
    <t>Loan #3</t>
  </si>
  <si>
    <t>Loan #4</t>
  </si>
  <si>
    <t>Loan #5</t>
  </si>
  <si>
    <t xml:space="preserve">This worksheet is informational only:  no entries are required here.  </t>
  </si>
  <si>
    <t>If you want to include loans in your plan, enter them in Assumptions tab or in Cash Flow.</t>
  </si>
  <si>
    <t>Labor</t>
  </si>
  <si>
    <t>COGS: Labor</t>
  </si>
  <si>
    <t>COGS: Payroll Taxes</t>
  </si>
  <si>
    <t>COGS: Materials</t>
  </si>
  <si>
    <t>Freight</t>
  </si>
  <si>
    <t>COGS %</t>
  </si>
  <si>
    <t>Breakeven point</t>
  </si>
  <si>
    <t>Your Company Name Here</t>
  </si>
  <si>
    <t>Loan #1</t>
  </si>
  <si>
    <t>Loan #2</t>
  </si>
  <si>
    <t>Product #1</t>
  </si>
  <si>
    <t>Product #2</t>
  </si>
  <si>
    <t>Product #3</t>
  </si>
  <si>
    <t>Product #4</t>
  </si>
  <si>
    <t>Product #5</t>
  </si>
  <si>
    <t>Starting year</t>
  </si>
  <si>
    <t>Unexpected Expenses %</t>
  </si>
  <si>
    <t>Unexpected Expenses</t>
  </si>
  <si>
    <r>
      <t>QUESTIONS:</t>
    </r>
    <r>
      <rPr>
        <sz val="10"/>
        <rFont val="Arial"/>
      </rPr>
      <t xml:space="preserve">  Please refer to the Frequently Asked Questions (the last worksheet in the series).</t>
    </r>
  </si>
  <si>
    <r>
      <t>How do I make changes to the formulas?</t>
    </r>
    <r>
      <rPr>
        <sz val="10"/>
        <rFont val="Arial"/>
      </rPr>
      <t xml:space="preserve">  To protect the formulas, all non-blue cells have been locked.  If you are proficient with the use of spreadsheets and would like to tinker, you can unlock the cells by using the password "BoulderSBDC".</t>
    </r>
  </si>
  <si>
    <t>The Boulder SBDC would like to acknowledge the work by Melissa Dunning and Leo Giles in creating this worksheet.  Thanks!</t>
  </si>
  <si>
    <t>Businesses can ignore the medium and high sales volume levels if they don't have that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</si>
</sst>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quot;$&quot;#,##0"/>
    <numFmt numFmtId="166" formatCode="&quot;$&quot;#,##0;[Red]&quot;$&quot;#,##0"/>
    <numFmt numFmtId="167" formatCode="[$-F800]dddd\,\ mmmm\ dd\,\ yyyy"/>
    <numFmt numFmtId="168" formatCode="0.0"/>
    <numFmt numFmtId="169" formatCode="#,##0;[Red]#,##0"/>
    <numFmt numFmtId="170" formatCode="&quot;$&quot;#,##0.00"/>
    <numFmt numFmtId="171" formatCode="&quot;$&quot;#,##0.00;[Red]&quot;$&quot;#,##0.00"/>
    <numFmt numFmtId="172" formatCode="#,##0.00;[Red]#,##0.00"/>
  </numFmts>
  <fonts count="11" x14ac:knownFonts="1">
    <font>
      <sz val="10"/>
      <name val="Arial"/>
    </font>
    <font>
      <sz val="10"/>
      <name val="Arial"/>
    </font>
    <font>
      <sz val="8"/>
      <name val="Arial"/>
    </font>
    <font>
      <b/>
      <sz val="14"/>
      <name val="Arial"/>
      <family val="2"/>
    </font>
    <font>
      <b/>
      <sz val="10"/>
      <name val="Arial"/>
      <family val="2"/>
    </font>
    <font>
      <sz val="10"/>
      <name val="Arial"/>
      <family val="2"/>
    </font>
    <font>
      <b/>
      <sz val="8"/>
      <color indexed="81"/>
      <name val="Tahoma"/>
    </font>
    <font>
      <sz val="10"/>
      <color indexed="10"/>
      <name val="Arial"/>
    </font>
    <font>
      <b/>
      <sz val="10"/>
      <name val="Arial"/>
    </font>
    <font>
      <sz val="9"/>
      <color indexed="81"/>
      <name val="Tahoma"/>
      <charset val="1"/>
    </font>
    <font>
      <b/>
      <sz val="9"/>
      <color indexed="81"/>
      <name val="Tahoma"/>
      <charset val="1"/>
    </font>
  </fonts>
  <fills count="3">
    <fill>
      <patternFill patternType="none"/>
    </fill>
    <fill>
      <patternFill patternType="gray125"/>
    </fill>
    <fill>
      <patternFill patternType="solid">
        <fgColor indexed="44"/>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17">
    <xf numFmtId="0" fontId="0" fillId="0" borderId="0" xfId="0"/>
    <xf numFmtId="0" fontId="0" fillId="0" borderId="1" xfId="0" applyBorder="1"/>
    <xf numFmtId="0" fontId="0" fillId="0" borderId="0" xfId="0" applyProtection="1">
      <protection hidden="1"/>
    </xf>
    <xf numFmtId="0" fontId="0" fillId="2" borderId="1" xfId="0" applyFill="1" applyBorder="1" applyProtection="1">
      <protection locked="0"/>
    </xf>
    <xf numFmtId="166" fontId="0" fillId="2" borderId="1" xfId="0" applyNumberFormat="1" applyFill="1" applyBorder="1" applyProtection="1">
      <protection locked="0"/>
    </xf>
    <xf numFmtId="164" fontId="0" fillId="2" borderId="1" xfId="0" applyNumberFormat="1" applyFill="1" applyBorder="1" applyProtection="1">
      <protection locked="0"/>
    </xf>
    <xf numFmtId="0" fontId="0" fillId="0" borderId="0" xfId="0" applyProtection="1"/>
    <xf numFmtId="0" fontId="0" fillId="0" borderId="1" xfId="0" applyBorder="1" applyProtection="1"/>
    <xf numFmtId="166" fontId="0" fillId="0" borderId="0" xfId="0" applyNumberFormat="1" applyProtection="1"/>
    <xf numFmtId="166" fontId="0" fillId="0" borderId="1" xfId="0" applyNumberFormat="1" applyBorder="1" applyProtection="1"/>
    <xf numFmtId="164" fontId="0" fillId="0" borderId="1" xfId="0" applyNumberFormat="1" applyBorder="1" applyProtection="1"/>
    <xf numFmtId="0" fontId="4" fillId="0" borderId="1" xfId="0" applyFont="1" applyBorder="1" applyAlignment="1" applyProtection="1">
      <alignment horizontal="center"/>
    </xf>
    <xf numFmtId="0" fontId="4" fillId="0" borderId="0" xfId="0" applyFont="1" applyAlignment="1" applyProtection="1">
      <alignment horizontal="center"/>
    </xf>
    <xf numFmtId="0" fontId="4" fillId="0" borderId="1" xfId="0" applyFont="1" applyBorder="1" applyProtection="1"/>
    <xf numFmtId="166" fontId="5" fillId="0" borderId="2" xfId="0" applyNumberFormat="1" applyFont="1" applyBorder="1" applyProtection="1"/>
    <xf numFmtId="164" fontId="5" fillId="0" borderId="2" xfId="0" applyNumberFormat="1" applyFont="1" applyBorder="1" applyProtection="1"/>
    <xf numFmtId="166" fontId="5" fillId="0" borderId="1" xfId="0" applyNumberFormat="1" applyFont="1" applyBorder="1" applyProtection="1"/>
    <xf numFmtId="164" fontId="5" fillId="0" borderId="1" xfId="0" applyNumberFormat="1" applyFont="1" applyBorder="1" applyProtection="1"/>
    <xf numFmtId="0" fontId="4" fillId="0" borderId="1" xfId="0" applyFont="1" applyBorder="1" applyAlignment="1" applyProtection="1"/>
    <xf numFmtId="0" fontId="4" fillId="0" borderId="0" xfId="0" applyFont="1" applyAlignment="1" applyProtection="1"/>
    <xf numFmtId="164" fontId="0" fillId="0" borderId="1" xfId="0" applyNumberFormat="1" applyFill="1" applyBorder="1" applyProtection="1"/>
    <xf numFmtId="165" fontId="5" fillId="0" borderId="1" xfId="0" applyNumberFormat="1" applyFont="1" applyFill="1" applyBorder="1" applyProtection="1"/>
    <xf numFmtId="0" fontId="4" fillId="0" borderId="0" xfId="0" applyFont="1" applyProtection="1"/>
    <xf numFmtId="0" fontId="0" fillId="0" borderId="1" xfId="0" applyFill="1" applyBorder="1" applyProtection="1"/>
    <xf numFmtId="0" fontId="7" fillId="0" borderId="0" xfId="0" applyFont="1" applyAlignment="1" applyProtection="1">
      <alignment wrapText="1"/>
    </xf>
    <xf numFmtId="0" fontId="0" fillId="0" borderId="1" xfId="0" applyNumberFormat="1" applyBorder="1" applyProtection="1"/>
    <xf numFmtId="165" fontId="0" fillId="0" borderId="1" xfId="0" applyNumberFormat="1" applyBorder="1" applyProtection="1"/>
    <xf numFmtId="0" fontId="3" fillId="0" borderId="1" xfId="0" applyFont="1" applyBorder="1" applyAlignment="1" applyProtection="1">
      <alignment horizontal="center"/>
    </xf>
    <xf numFmtId="0" fontId="0" fillId="0" borderId="1" xfId="0" applyBorder="1" applyAlignment="1" applyProtection="1"/>
    <xf numFmtId="0" fontId="5" fillId="0" borderId="1" xfId="0" applyFont="1" applyBorder="1" applyProtection="1"/>
    <xf numFmtId="169" fontId="0" fillId="0" borderId="1" xfId="0" applyNumberFormat="1" applyFill="1" applyBorder="1" applyProtection="1"/>
    <xf numFmtId="166" fontId="0" fillId="0" borderId="1" xfId="0" applyNumberFormat="1" applyFill="1" applyBorder="1"/>
    <xf numFmtId="166" fontId="0" fillId="0" borderId="1" xfId="0" applyNumberFormat="1" applyBorder="1"/>
    <xf numFmtId="10" fontId="0" fillId="0" borderId="1" xfId="0" applyNumberFormat="1" applyBorder="1"/>
    <xf numFmtId="166" fontId="0" fillId="0" borderId="1" xfId="0" applyNumberFormat="1" applyFill="1" applyBorder="1" applyProtection="1"/>
    <xf numFmtId="169" fontId="0" fillId="0" borderId="1" xfId="0" applyNumberFormat="1" applyBorder="1" applyProtection="1"/>
    <xf numFmtId="169" fontId="0" fillId="2" borderId="1" xfId="0" applyNumberFormat="1" applyFill="1" applyBorder="1" applyProtection="1">
      <protection locked="0"/>
    </xf>
    <xf numFmtId="0" fontId="7" fillId="0" borderId="1" xfId="0" applyFont="1" applyBorder="1" applyAlignment="1">
      <alignment horizontal="center"/>
    </xf>
    <xf numFmtId="0" fontId="5" fillId="0" borderId="0" xfId="0" applyFont="1" applyProtection="1"/>
    <xf numFmtId="166" fontId="5" fillId="0" borderId="1" xfId="0" applyNumberFormat="1" applyFont="1" applyBorder="1" applyAlignment="1" applyProtection="1">
      <alignment horizontal="center"/>
    </xf>
    <xf numFmtId="166" fontId="4" fillId="0" borderId="1" xfId="0" applyNumberFormat="1" applyFont="1" applyBorder="1" applyAlignment="1" applyProtection="1">
      <alignment horizontal="center"/>
    </xf>
    <xf numFmtId="166" fontId="4" fillId="0" borderId="1" xfId="0" applyNumberFormat="1" applyFont="1" applyBorder="1" applyAlignment="1" applyProtection="1">
      <alignment horizontal="left"/>
    </xf>
    <xf numFmtId="166" fontId="4" fillId="0" borderId="1" xfId="0" applyNumberFormat="1" applyFont="1" applyFill="1" applyBorder="1" applyProtection="1"/>
    <xf numFmtId="166" fontId="0" fillId="2" borderId="1" xfId="0" applyNumberFormat="1" applyFill="1" applyBorder="1" applyProtection="1"/>
    <xf numFmtId="166" fontId="5" fillId="0" borderId="1" xfId="0" applyNumberFormat="1" applyFont="1" applyFill="1" applyBorder="1" applyProtection="1"/>
    <xf numFmtId="166" fontId="4" fillId="0" borderId="1" xfId="0" applyNumberFormat="1" applyFont="1" applyBorder="1" applyProtection="1"/>
    <xf numFmtId="0" fontId="0" fillId="0" borderId="0" xfId="0" applyAlignment="1"/>
    <xf numFmtId="0" fontId="4" fillId="0" borderId="2" xfId="0" applyFont="1" applyBorder="1" applyProtection="1"/>
    <xf numFmtId="0" fontId="0" fillId="0" borderId="2" xfId="0" applyBorder="1" applyProtection="1"/>
    <xf numFmtId="0" fontId="0" fillId="0" borderId="3" xfId="0" applyBorder="1" applyProtection="1"/>
    <xf numFmtId="166" fontId="5" fillId="0" borderId="3" xfId="0" applyNumberFormat="1" applyFont="1" applyBorder="1" applyProtection="1"/>
    <xf numFmtId="164" fontId="5" fillId="0" borderId="3" xfId="0" applyNumberFormat="1" applyFont="1" applyBorder="1" applyProtection="1"/>
    <xf numFmtId="0" fontId="4" fillId="0" borderId="5" xfId="0" applyFont="1" applyBorder="1" applyAlignment="1" applyProtection="1">
      <alignment horizontal="center"/>
    </xf>
    <xf numFmtId="0" fontId="4" fillId="0" borderId="1" xfId="0" applyFont="1" applyFill="1" applyBorder="1" applyAlignment="1" applyProtection="1">
      <alignment wrapText="1"/>
    </xf>
    <xf numFmtId="166" fontId="0" fillId="0" borderId="6" xfId="0" applyNumberFormat="1" applyBorder="1" applyProtection="1"/>
    <xf numFmtId="0" fontId="3" fillId="0" borderId="0" xfId="0" applyFont="1" applyBorder="1" applyAlignment="1" applyProtection="1">
      <alignment horizontal="center"/>
    </xf>
    <xf numFmtId="0" fontId="0" fillId="0" borderId="0" xfId="0" applyBorder="1" applyAlignment="1" applyProtection="1"/>
    <xf numFmtId="0" fontId="0" fillId="0" borderId="0" xfId="0" applyAlignment="1" applyProtection="1"/>
    <xf numFmtId="0" fontId="0" fillId="0" borderId="1" xfId="0" applyBorder="1" applyAlignment="1"/>
    <xf numFmtId="0" fontId="0" fillId="0" borderId="0" xfId="0" applyBorder="1" applyAlignment="1"/>
    <xf numFmtId="0" fontId="0" fillId="0" borderId="0" xfId="0" applyBorder="1"/>
    <xf numFmtId="165" fontId="0" fillId="0" borderId="1" xfId="0" applyNumberFormat="1" applyBorder="1"/>
    <xf numFmtId="0" fontId="4" fillId="0" borderId="1" xfId="0" applyFont="1" applyBorder="1"/>
    <xf numFmtId="0" fontId="0" fillId="0" borderId="3" xfId="0" applyBorder="1"/>
    <xf numFmtId="0" fontId="0" fillId="0" borderId="3" xfId="0" applyFill="1" applyBorder="1"/>
    <xf numFmtId="0" fontId="4" fillId="0" borderId="1" xfId="0" applyFont="1" applyFill="1" applyBorder="1"/>
    <xf numFmtId="10" fontId="0" fillId="0" borderId="1" xfId="0" applyNumberFormat="1" applyFill="1" applyBorder="1"/>
    <xf numFmtId="0" fontId="0" fillId="0" borderId="0" xfId="0" applyFill="1" applyBorder="1"/>
    <xf numFmtId="0" fontId="5" fillId="0" borderId="1" xfId="0" applyFont="1" applyFill="1" applyBorder="1"/>
    <xf numFmtId="171" fontId="0" fillId="0" borderId="1" xfId="0" applyNumberFormat="1" applyFill="1" applyBorder="1"/>
    <xf numFmtId="171" fontId="0" fillId="0" borderId="1" xfId="0" applyNumberFormat="1" applyBorder="1"/>
    <xf numFmtId="170" fontId="0" fillId="0" borderId="0" xfId="0" applyNumberFormat="1" applyProtection="1"/>
    <xf numFmtId="0" fontId="0" fillId="0" borderId="0" xfId="0" applyBorder="1" applyProtection="1"/>
    <xf numFmtId="165" fontId="0" fillId="0" borderId="1" xfId="0" applyNumberFormat="1" applyFill="1" applyBorder="1" applyProtection="1"/>
    <xf numFmtId="165" fontId="5" fillId="0" borderId="1" xfId="0" applyNumberFormat="1" applyFont="1" applyBorder="1" applyProtection="1"/>
    <xf numFmtId="172" fontId="0" fillId="0" borderId="0" xfId="0" applyNumberFormat="1" applyProtection="1"/>
    <xf numFmtId="0" fontId="4" fillId="0" borderId="3" xfId="0" applyFont="1" applyFill="1" applyBorder="1" applyAlignment="1">
      <alignment horizontal="center"/>
    </xf>
    <xf numFmtId="0" fontId="4" fillId="0" borderId="2" xfId="0" applyFont="1" applyFill="1" applyBorder="1"/>
    <xf numFmtId="0" fontId="4" fillId="0" borderId="2" xfId="0" applyFont="1" applyFill="1" applyBorder="1" applyAlignment="1">
      <alignment horizontal="center"/>
    </xf>
    <xf numFmtId="0" fontId="0" fillId="0" borderId="6" xfId="0" applyBorder="1"/>
    <xf numFmtId="0" fontId="0" fillId="0" borderId="7" xfId="0" applyBorder="1"/>
    <xf numFmtId="0" fontId="0" fillId="0" borderId="8" xfId="0" applyFill="1" applyBorder="1"/>
    <xf numFmtId="0" fontId="0" fillId="0" borderId="7" xfId="0" applyFill="1" applyBorder="1"/>
    <xf numFmtId="171" fontId="3" fillId="0" borderId="1" xfId="0" applyNumberFormat="1" applyFont="1" applyBorder="1" applyAlignment="1" applyProtection="1">
      <alignment horizontal="center"/>
    </xf>
    <xf numFmtId="171" fontId="4" fillId="0" borderId="1" xfId="0" applyNumberFormat="1" applyFont="1" applyBorder="1" applyAlignment="1" applyProtection="1">
      <alignment horizontal="center"/>
    </xf>
    <xf numFmtId="171" fontId="4" fillId="0" borderId="1" xfId="0" applyNumberFormat="1" applyFont="1" applyBorder="1" applyProtection="1"/>
    <xf numFmtId="171" fontId="0" fillId="0" borderId="1" xfId="0" applyNumberFormat="1" applyBorder="1" applyProtection="1"/>
    <xf numFmtId="171" fontId="0" fillId="0" borderId="1" xfId="0" applyNumberFormat="1" applyFill="1" applyBorder="1" applyProtection="1"/>
    <xf numFmtId="171" fontId="0" fillId="0" borderId="0" xfId="0" applyNumberFormat="1" applyProtection="1"/>
    <xf numFmtId="0" fontId="4" fillId="0" borderId="1" xfId="0" applyFont="1" applyFill="1" applyBorder="1" applyProtection="1"/>
    <xf numFmtId="0" fontId="0" fillId="2" borderId="1" xfId="0" applyFill="1" applyBorder="1" applyAlignment="1" applyProtection="1">
      <alignment horizontal="left" indent="1"/>
      <protection locked="0"/>
    </xf>
    <xf numFmtId="0" fontId="5" fillId="0" borderId="1" xfId="0" applyFont="1" applyBorder="1" applyAlignment="1">
      <alignment horizontal="left" indent="1"/>
    </xf>
    <xf numFmtId="165" fontId="0" fillId="0" borderId="0" xfId="0" applyNumberFormat="1" applyProtection="1"/>
    <xf numFmtId="0" fontId="0" fillId="0" borderId="0" xfId="0" applyFill="1" applyProtection="1"/>
    <xf numFmtId="166" fontId="0" fillId="0" borderId="0" xfId="0" applyNumberFormat="1" applyBorder="1" applyProtection="1"/>
    <xf numFmtId="0" fontId="4" fillId="0" borderId="1" xfId="0" applyFont="1" applyBorder="1" applyAlignment="1" applyProtection="1">
      <alignment horizontal="left"/>
    </xf>
    <xf numFmtId="0" fontId="0" fillId="0" borderId="1" xfId="0" applyFill="1" applyBorder="1" applyAlignment="1" applyProtection="1">
      <alignment horizontal="left" indent="1"/>
    </xf>
    <xf numFmtId="0" fontId="4" fillId="0" borderId="1" xfId="0" applyFont="1" applyFill="1" applyBorder="1" applyAlignment="1" applyProtection="1"/>
    <xf numFmtId="0" fontId="4" fillId="0" borderId="1" xfId="0" applyFont="1" applyFill="1" applyBorder="1" applyAlignment="1" applyProtection="1">
      <alignment horizontal="left"/>
    </xf>
    <xf numFmtId="0" fontId="0" fillId="0" borderId="0" xfId="0" applyNumberFormat="1" applyProtection="1"/>
    <xf numFmtId="167" fontId="0" fillId="0" borderId="0" xfId="0" applyNumberFormat="1" applyProtection="1"/>
    <xf numFmtId="0" fontId="4" fillId="2" borderId="1" xfId="0" applyFont="1" applyFill="1" applyBorder="1" applyAlignment="1" applyProtection="1">
      <alignment horizontal="center"/>
      <protection locked="0"/>
    </xf>
    <xf numFmtId="171" fontId="0" fillId="2" borderId="1" xfId="0" applyNumberFormat="1" applyFill="1" applyBorder="1" applyProtection="1">
      <protection locked="0"/>
    </xf>
    <xf numFmtId="3" fontId="4" fillId="2" borderId="1" xfId="0" applyNumberFormat="1" applyFont="1" applyFill="1" applyBorder="1" applyAlignment="1" applyProtection="1">
      <alignment horizontal="center"/>
      <protection locked="0"/>
    </xf>
    <xf numFmtId="0" fontId="0" fillId="0" borderId="1" xfId="0" applyFill="1" applyBorder="1"/>
    <xf numFmtId="0" fontId="5" fillId="0" borderId="1" xfId="0" applyFont="1" applyFill="1" applyBorder="1" applyAlignment="1">
      <alignment horizontal="left" indent="1"/>
    </xf>
    <xf numFmtId="10" fontId="0" fillId="2" borderId="1" xfId="0" applyNumberFormat="1" applyFill="1" applyBorder="1" applyProtection="1">
      <protection locked="0"/>
    </xf>
    <xf numFmtId="0" fontId="1" fillId="2" borderId="1" xfId="0" applyFont="1" applyFill="1" applyBorder="1" applyAlignment="1" applyProtection="1">
      <alignment horizontal="center"/>
      <protection locked="0"/>
    </xf>
    <xf numFmtId="165" fontId="0" fillId="2" borderId="1" xfId="0" applyNumberFormat="1" applyFill="1" applyBorder="1" applyProtection="1">
      <protection locked="0"/>
    </xf>
    <xf numFmtId="0" fontId="5" fillId="0" borderId="1" xfId="0" applyFont="1" applyFill="1" applyBorder="1" applyAlignment="1" applyProtection="1">
      <alignment horizontal="left" indent="1"/>
    </xf>
    <xf numFmtId="165" fontId="0" fillId="0" borderId="0" xfId="0" applyNumberFormat="1" applyBorder="1" applyProtection="1"/>
    <xf numFmtId="0" fontId="4" fillId="0" borderId="0" xfId="0" applyFont="1" applyBorder="1" applyAlignment="1" applyProtection="1">
      <alignment horizontal="center"/>
    </xf>
    <xf numFmtId="0" fontId="0" fillId="0" borderId="0" xfId="0" applyFill="1" applyBorder="1" applyProtection="1"/>
    <xf numFmtId="0" fontId="4" fillId="0" borderId="0" xfId="0" applyFont="1" applyBorder="1" applyProtection="1"/>
    <xf numFmtId="168" fontId="0" fillId="2" borderId="1" xfId="0" applyNumberFormat="1" applyFill="1" applyBorder="1" applyProtection="1">
      <protection locked="0"/>
    </xf>
    <xf numFmtId="49" fontId="0" fillId="2" borderId="1" xfId="0" applyNumberFormat="1" applyFill="1" applyBorder="1" applyProtection="1">
      <protection locked="0"/>
    </xf>
    <xf numFmtId="0" fontId="0" fillId="0" borderId="7" xfId="0" applyBorder="1" applyAlignment="1" applyProtection="1">
      <alignment horizontal="left" indent="1"/>
    </xf>
    <xf numFmtId="164" fontId="5" fillId="0" borderId="7" xfId="0" applyNumberFormat="1" applyFont="1" applyBorder="1" applyProtection="1"/>
    <xf numFmtId="0" fontId="0" fillId="0" borderId="8" xfId="0" applyBorder="1" applyProtection="1"/>
    <xf numFmtId="0" fontId="0" fillId="2" borderId="1" xfId="0" applyFill="1" applyBorder="1" applyAlignment="1" applyProtection="1">
      <alignment horizontal="center"/>
      <protection locked="0"/>
    </xf>
    <xf numFmtId="0" fontId="0" fillId="0" borderId="1" xfId="0" applyBorder="1" applyProtection="1">
      <protection locked="0"/>
    </xf>
    <xf numFmtId="0" fontId="4" fillId="0" borderId="0" xfId="0" applyFont="1" applyBorder="1" applyAlignment="1">
      <alignment horizontal="center"/>
    </xf>
    <xf numFmtId="0" fontId="0" fillId="0" borderId="2" xfId="0" applyBorder="1"/>
    <xf numFmtId="0" fontId="0" fillId="0" borderId="2" xfId="0" applyFill="1" applyBorder="1"/>
    <xf numFmtId="0" fontId="0" fillId="0" borderId="9" xfId="0" applyFill="1" applyBorder="1"/>
    <xf numFmtId="0" fontId="0" fillId="0" borderId="10" xfId="0" applyBorder="1"/>
    <xf numFmtId="165" fontId="0" fillId="0" borderId="11" xfId="0" applyNumberFormat="1" applyBorder="1"/>
    <xf numFmtId="165" fontId="0" fillId="0" borderId="12" xfId="0" applyNumberFormat="1" applyBorder="1"/>
    <xf numFmtId="165" fontId="0" fillId="0" borderId="13" xfId="0" applyNumberFormat="1" applyBorder="1"/>
    <xf numFmtId="0" fontId="0" fillId="0" borderId="14" xfId="0" applyBorder="1"/>
    <xf numFmtId="0" fontId="0" fillId="0" borderId="9" xfId="0" applyBorder="1"/>
    <xf numFmtId="0" fontId="4" fillId="0" borderId="16" xfId="0" applyFont="1" applyBorder="1"/>
    <xf numFmtId="0" fontId="0" fillId="0" borderId="17" xfId="0" applyBorder="1"/>
    <xf numFmtId="0" fontId="0" fillId="0" borderId="18" xfId="0" applyBorder="1"/>
    <xf numFmtId="0" fontId="0" fillId="0" borderId="19" xfId="0" applyBorder="1"/>
    <xf numFmtId="0" fontId="0" fillId="0" borderId="20" xfId="0" applyBorder="1"/>
    <xf numFmtId="165" fontId="0" fillId="0" borderId="21" xfId="0" applyNumberFormat="1" applyBorder="1"/>
    <xf numFmtId="165" fontId="0" fillId="0" borderId="22" xfId="0" applyNumberFormat="1" applyBorder="1"/>
    <xf numFmtId="0" fontId="0" fillId="0" borderId="23" xfId="0" applyBorder="1"/>
    <xf numFmtId="0" fontId="0" fillId="0" borderId="22" xfId="0" applyBorder="1"/>
    <xf numFmtId="165" fontId="0" fillId="0" borderId="10" xfId="0" applyNumberFormat="1" applyBorder="1"/>
    <xf numFmtId="165" fontId="0" fillId="0" borderId="26" xfId="0" applyNumberFormat="1" applyBorder="1"/>
    <xf numFmtId="0" fontId="0" fillId="0" borderId="27" xfId="0" applyBorder="1"/>
    <xf numFmtId="0" fontId="0" fillId="0" borderId="28" xfId="0" applyBorder="1"/>
    <xf numFmtId="0" fontId="0" fillId="0" borderId="27" xfId="0" applyFill="1" applyBorder="1"/>
    <xf numFmtId="0" fontId="0" fillId="0" borderId="28" xfId="0" applyFill="1" applyBorder="1"/>
    <xf numFmtId="0" fontId="0" fillId="0" borderId="14" xfId="0" applyFill="1" applyBorder="1"/>
    <xf numFmtId="0" fontId="4" fillId="0" borderId="30" xfId="0" applyFont="1" applyBorder="1" applyAlignment="1">
      <alignment horizontal="center"/>
    </xf>
    <xf numFmtId="0" fontId="4" fillId="0" borderId="31" xfId="0" applyFont="1" applyBorder="1" applyAlignment="1" applyProtection="1">
      <alignment horizontal="center"/>
    </xf>
    <xf numFmtId="0" fontId="4" fillId="0" borderId="32" xfId="0" applyFont="1" applyBorder="1" applyAlignment="1" applyProtection="1">
      <alignment horizontal="center"/>
    </xf>
    <xf numFmtId="0" fontId="0" fillId="0" borderId="1" xfId="0" applyBorder="1" applyAlignment="1">
      <alignment horizontal="left" indent="2"/>
    </xf>
    <xf numFmtId="0" fontId="0" fillId="2" borderId="1" xfId="0" applyFill="1" applyBorder="1" applyAlignment="1" applyProtection="1">
      <alignment horizontal="left" indent="2"/>
      <protection locked="0"/>
    </xf>
    <xf numFmtId="0" fontId="0" fillId="0" borderId="1" xfId="0" applyBorder="1" applyAlignment="1" applyProtection="1">
      <alignment horizontal="left" indent="1"/>
    </xf>
    <xf numFmtId="166" fontId="5" fillId="0" borderId="1" xfId="0" applyNumberFormat="1" applyFont="1" applyFill="1" applyBorder="1" applyAlignment="1" applyProtection="1">
      <alignment horizontal="left" indent="1"/>
    </xf>
    <xf numFmtId="165" fontId="0" fillId="0" borderId="1" xfId="0" applyNumberFormat="1" applyBorder="1" applyAlignment="1" applyProtection="1">
      <alignment horizontal="right"/>
    </xf>
    <xf numFmtId="0" fontId="8" fillId="0" borderId="0" xfId="0" applyFont="1" applyProtection="1"/>
    <xf numFmtId="0" fontId="0" fillId="0" borderId="24" xfId="0" applyBorder="1"/>
    <xf numFmtId="0" fontId="0" fillId="0" borderId="29" xfId="0" applyBorder="1"/>
    <xf numFmtId="0" fontId="0" fillId="0" borderId="8" xfId="0" applyBorder="1"/>
    <xf numFmtId="0" fontId="0" fillId="0" borderId="15" xfId="0" applyBorder="1"/>
    <xf numFmtId="0" fontId="0" fillId="0" borderId="15" xfId="0" applyFill="1" applyBorder="1"/>
    <xf numFmtId="0" fontId="0" fillId="0" borderId="29" xfId="0" applyFill="1" applyBorder="1"/>
    <xf numFmtId="165" fontId="0" fillId="0" borderId="40" xfId="0" applyNumberFormat="1" applyBorder="1"/>
    <xf numFmtId="165" fontId="0" fillId="0" borderId="39" xfId="0" applyNumberFormat="1" applyBorder="1"/>
    <xf numFmtId="165" fontId="0" fillId="0" borderId="3" xfId="0" applyNumberFormat="1" applyBorder="1"/>
    <xf numFmtId="165" fontId="0" fillId="0" borderId="25" xfId="0" applyNumberFormat="1" applyBorder="1"/>
    <xf numFmtId="0" fontId="4" fillId="0" borderId="36" xfId="0" applyFont="1" applyBorder="1" applyAlignment="1">
      <alignment horizontal="center"/>
    </xf>
    <xf numFmtId="0" fontId="0" fillId="0" borderId="33" xfId="0" applyBorder="1"/>
    <xf numFmtId="0" fontId="0" fillId="0" borderId="41" xfId="0" applyBorder="1"/>
    <xf numFmtId="0" fontId="4" fillId="0" borderId="36" xfId="0" applyFont="1" applyBorder="1"/>
    <xf numFmtId="0" fontId="0" fillId="0" borderId="36" xfId="0" applyBorder="1"/>
    <xf numFmtId="0" fontId="4" fillId="0" borderId="42" xfId="0" applyFont="1" applyBorder="1" applyAlignment="1" applyProtection="1">
      <alignment horizontal="center"/>
    </xf>
    <xf numFmtId="0" fontId="0" fillId="0" borderId="44" xfId="0" applyBorder="1"/>
    <xf numFmtId="165" fontId="0" fillId="0" borderId="37" xfId="0" applyNumberFormat="1" applyBorder="1"/>
    <xf numFmtId="165" fontId="0" fillId="0" borderId="45" xfId="0" applyNumberFormat="1" applyBorder="1"/>
    <xf numFmtId="165" fontId="0" fillId="0" borderId="35" xfId="0" applyNumberFormat="1" applyBorder="1"/>
    <xf numFmtId="0" fontId="0" fillId="0" borderId="21" xfId="0" applyBorder="1"/>
    <xf numFmtId="0" fontId="0" fillId="0" borderId="43" xfId="0" applyFill="1" applyBorder="1"/>
    <xf numFmtId="0" fontId="0" fillId="0" borderId="46" xfId="0" applyFill="1" applyBorder="1"/>
    <xf numFmtId="0" fontId="0" fillId="0" borderId="11" xfId="0" applyBorder="1"/>
    <xf numFmtId="0" fontId="0" fillId="0" borderId="44" xfId="0" applyFill="1" applyBorder="1"/>
    <xf numFmtId="0" fontId="0" fillId="0" borderId="37" xfId="0" applyFill="1" applyBorder="1"/>
    <xf numFmtId="0" fontId="0" fillId="0" borderId="11" xfId="0" applyFill="1" applyBorder="1"/>
    <xf numFmtId="0" fontId="0" fillId="0" borderId="10" xfId="0" applyFill="1" applyBorder="1"/>
    <xf numFmtId="0" fontId="4" fillId="0" borderId="0" xfId="0" applyFont="1" applyBorder="1" applyAlignment="1" applyProtection="1"/>
    <xf numFmtId="0" fontId="0" fillId="0" borderId="0" xfId="0" applyAlignment="1" applyProtection="1">
      <alignment horizontal="center"/>
    </xf>
    <xf numFmtId="0" fontId="4" fillId="0" borderId="0" xfId="0" applyFont="1" applyAlignment="1" applyProtection="1">
      <alignment wrapText="1"/>
    </xf>
    <xf numFmtId="0" fontId="0" fillId="0" borderId="0" xfId="0" applyAlignment="1" applyProtection="1">
      <alignment wrapText="1"/>
    </xf>
    <xf numFmtId="0" fontId="3" fillId="0" borderId="1" xfId="0" applyFont="1" applyBorder="1" applyAlignment="1" applyProtection="1">
      <alignment horizontal="center"/>
    </xf>
    <xf numFmtId="0" fontId="0" fillId="0" borderId="1" xfId="0" applyBorder="1" applyAlignment="1">
      <alignment horizontal="center"/>
    </xf>
    <xf numFmtId="0" fontId="0" fillId="0" borderId="1" xfId="0" applyBorder="1" applyAlignment="1"/>
    <xf numFmtId="0" fontId="0" fillId="0" borderId="38" xfId="0" applyBorder="1" applyAlignment="1">
      <alignment horizontal="center"/>
    </xf>
    <xf numFmtId="0" fontId="0" fillId="0" borderId="1" xfId="0" applyBorder="1" applyAlignment="1" applyProtection="1"/>
    <xf numFmtId="0" fontId="0" fillId="0" borderId="38" xfId="0" applyBorder="1" applyAlignment="1" applyProtection="1">
      <alignment horizontal="center"/>
    </xf>
    <xf numFmtId="166" fontId="3" fillId="0" borderId="1" xfId="0" applyNumberFormat="1" applyFont="1" applyBorder="1" applyAlignment="1" applyProtection="1">
      <alignment horizontal="center"/>
    </xf>
    <xf numFmtId="170" fontId="3" fillId="0" borderId="1" xfId="0" applyNumberFormat="1" applyFont="1" applyBorder="1" applyAlignment="1" applyProtection="1">
      <alignment horizontal="center"/>
    </xf>
    <xf numFmtId="170" fontId="0" fillId="0" borderId="1" xfId="0" applyNumberFormat="1" applyBorder="1" applyAlignment="1">
      <alignment horizontal="center"/>
    </xf>
    <xf numFmtId="0" fontId="5" fillId="0" borderId="1" xfId="0" applyFont="1" applyBorder="1" applyAlignment="1" applyProtection="1">
      <alignment horizontal="center" wrapText="1"/>
    </xf>
    <xf numFmtId="0" fontId="0" fillId="0" borderId="1" xfId="0" applyBorder="1" applyAlignment="1">
      <alignment wrapText="1"/>
    </xf>
    <xf numFmtId="0" fontId="5" fillId="0" borderId="1" xfId="0" applyFont="1" applyBorder="1" applyAlignment="1" applyProtection="1">
      <alignment horizontal="center"/>
    </xf>
    <xf numFmtId="0" fontId="0" fillId="0" borderId="0" xfId="0" applyBorder="1" applyAlignment="1">
      <alignment horizontal="center"/>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0" fillId="0" borderId="34" xfId="0" applyBorder="1" applyAlignment="1" applyProtection="1"/>
    <xf numFmtId="0" fontId="0" fillId="0" borderId="35" xfId="0" applyBorder="1" applyAlignment="1" applyProtection="1"/>
    <xf numFmtId="0" fontId="3" fillId="0" borderId="36" xfId="0" applyFont="1" applyBorder="1" applyAlignment="1" applyProtection="1">
      <alignment horizontal="center"/>
    </xf>
    <xf numFmtId="0" fontId="3" fillId="0" borderId="4" xfId="0" applyFont="1" applyBorder="1" applyAlignment="1" applyProtection="1">
      <alignment horizontal="center"/>
    </xf>
    <xf numFmtId="0" fontId="0" fillId="0" borderId="4" xfId="0" applyBorder="1" applyAlignment="1" applyProtection="1"/>
    <xf numFmtId="0" fontId="0" fillId="0" borderId="37" xfId="0" applyBorder="1" applyAlignment="1" applyProtection="1"/>
    <xf numFmtId="170" fontId="0" fillId="0" borderId="33" xfId="0" applyNumberFormat="1" applyBorder="1" applyAlignment="1" applyProtection="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center"/>
    </xf>
    <xf numFmtId="0" fontId="4"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Net Sales &amp; Gross Profit</a:t>
            </a:r>
          </a:p>
        </c:rich>
      </c:tx>
      <c:layout>
        <c:manualLayout>
          <c:xMode val="edge"/>
          <c:yMode val="edge"/>
          <c:x val="0.29523878171219708"/>
          <c:y val="3.5587188612099648E-2"/>
        </c:manualLayout>
      </c:layout>
      <c:overlay val="0"/>
      <c:spPr>
        <a:noFill/>
        <a:ln w="25400">
          <a:noFill/>
        </a:ln>
      </c:spPr>
    </c:title>
    <c:autoTitleDeleted val="0"/>
    <c:plotArea>
      <c:layout>
        <c:manualLayout>
          <c:layoutTarget val="inner"/>
          <c:xMode val="edge"/>
          <c:yMode val="edge"/>
          <c:x val="8.8095442930252343E-2"/>
          <c:y val="0.21352313167259787"/>
          <c:w val="0.63809672176507104"/>
          <c:h val="0.604982206405694"/>
        </c:manualLayout>
      </c:layout>
      <c:lineChart>
        <c:grouping val="standard"/>
        <c:varyColors val="0"/>
        <c:ser>
          <c:idx val="0"/>
          <c:order val="0"/>
          <c:tx>
            <c:strRef>
              <c:f>Sales!$A$14</c:f>
              <c:strCache>
                <c:ptCount val="1"/>
                <c:pt idx="0">
                  <c:v>Net Sales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Sales!$B$5:$M$5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Sales!$B$14:$M$14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470E-497B-A896-B36C618DAA97}"/>
            </c:ext>
          </c:extLst>
        </c:ser>
        <c:ser>
          <c:idx val="1"/>
          <c:order val="1"/>
          <c:tx>
            <c:strRef>
              <c:f>Sales!$A$21</c:f>
              <c:strCache>
                <c:ptCount val="1"/>
                <c:pt idx="0">
                  <c:v>Gross Profit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Sales!$B$5:$M$5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Sales!$B$21:$M$21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470E-497B-A896-B36C618DAA97}"/>
            </c:ext>
          </c:extLst>
        </c:ser>
        <c:dLbls>
          <c:showLegendKey val="0"/>
          <c:showVal val="0"/>
          <c:showCatName val="0"/>
          <c:showSerName val="0"/>
          <c:showPercent val="0"/>
          <c:showBubbleSize val="0"/>
        </c:dLbls>
        <c:marker val="1"/>
        <c:smooth val="0"/>
        <c:axId val="331741552"/>
        <c:axId val="331741944"/>
      </c:lineChart>
      <c:catAx>
        <c:axId val="33174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331741944"/>
        <c:crosses val="autoZero"/>
        <c:auto val="1"/>
        <c:lblAlgn val="ctr"/>
        <c:lblOffset val="100"/>
        <c:tickLblSkip val="1"/>
        <c:tickMarkSkip val="1"/>
        <c:noMultiLvlLbl val="0"/>
      </c:catAx>
      <c:valAx>
        <c:axId val="331741944"/>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31741552"/>
        <c:crosses val="autoZero"/>
        <c:crossBetween val="between"/>
      </c:valAx>
      <c:spPr>
        <a:solidFill>
          <a:srgbClr val="C0C0C0"/>
        </a:solidFill>
        <a:ln w="12700">
          <a:solidFill>
            <a:srgbClr val="808080"/>
          </a:solidFill>
          <a:prstDash val="solid"/>
        </a:ln>
      </c:spPr>
    </c:plotArea>
    <c:legend>
      <c:legendPos val="r"/>
      <c:layout>
        <c:manualLayout>
          <c:xMode val="edge"/>
          <c:yMode val="edge"/>
          <c:x val="0.75238270178269573"/>
          <c:y val="0.44839857651245552"/>
          <c:w val="0.22857196003524935"/>
          <c:h val="0.13879003558718861"/>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Operating Expenses</a:t>
            </a:r>
          </a:p>
        </c:rich>
      </c:tx>
      <c:layout>
        <c:manualLayout>
          <c:xMode val="edge"/>
          <c:yMode val="edge"/>
          <c:x val="0.32860595958453287"/>
          <c:y val="3.5587188612099648E-2"/>
        </c:manualLayout>
      </c:layout>
      <c:overlay val="0"/>
      <c:spPr>
        <a:noFill/>
        <a:ln w="25400">
          <a:noFill/>
        </a:ln>
      </c:spPr>
    </c:title>
    <c:autoTitleDeleted val="0"/>
    <c:plotArea>
      <c:layout>
        <c:manualLayout>
          <c:layoutTarget val="inner"/>
          <c:xMode val="edge"/>
          <c:yMode val="edge"/>
          <c:x val="8.7470651112429618E-2"/>
          <c:y val="0.21352313167259787"/>
          <c:w val="0.87943465442767077"/>
          <c:h val="0.64056939501779364"/>
        </c:manualLayout>
      </c:layout>
      <c:lineChart>
        <c:grouping val="standard"/>
        <c:varyColors val="0"/>
        <c:ser>
          <c:idx val="0"/>
          <c:order val="0"/>
          <c:tx>
            <c:strRef>
              <c:f>'Operating Expenses'!$A$35</c:f>
              <c:strCache>
                <c:ptCount val="1"/>
                <c:pt idx="0">
                  <c:v>Total Operating Expenses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'Operating Expenses'!$B$5:$M$5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'Operating Expenses'!$B$35:$M$35</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15E4-43DE-9A52-928F87FF529E}"/>
            </c:ext>
          </c:extLst>
        </c:ser>
        <c:dLbls>
          <c:showLegendKey val="0"/>
          <c:showVal val="0"/>
          <c:showCatName val="0"/>
          <c:showSerName val="0"/>
          <c:showPercent val="0"/>
          <c:showBubbleSize val="0"/>
        </c:dLbls>
        <c:marker val="1"/>
        <c:smooth val="0"/>
        <c:axId val="331742336"/>
        <c:axId val="331735672"/>
      </c:lineChart>
      <c:catAx>
        <c:axId val="33174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31735672"/>
        <c:crosses val="autoZero"/>
        <c:auto val="1"/>
        <c:lblAlgn val="ctr"/>
        <c:lblOffset val="100"/>
        <c:tickLblSkip val="1"/>
        <c:tickMarkSkip val="1"/>
        <c:noMultiLvlLbl val="0"/>
      </c:catAx>
      <c:valAx>
        <c:axId val="331735672"/>
        <c:scaling>
          <c:orientation val="minMax"/>
        </c:scaling>
        <c:delete val="0"/>
        <c:axPos val="l"/>
        <c:majorGridlines>
          <c:spPr>
            <a:ln w="3175">
              <a:solidFill>
                <a:srgbClr val="000000"/>
              </a:solidFill>
              <a:prstDash val="solid"/>
            </a:ln>
          </c:spPr>
        </c:majorGridlines>
        <c:numFmt formatCode="&quot;$&quot;#,##0;[Red]&quot;$&quot;#,##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317423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Cost Of Goods Sold</a:t>
            </a:r>
          </a:p>
        </c:rich>
      </c:tx>
      <c:layout>
        <c:manualLayout>
          <c:xMode val="edge"/>
          <c:yMode val="edge"/>
          <c:x val="0.34634146341463412"/>
          <c:y val="3.5587188612099648E-2"/>
        </c:manualLayout>
      </c:layout>
      <c:overlay val="0"/>
      <c:spPr>
        <a:noFill/>
        <a:ln w="25400">
          <a:noFill/>
        </a:ln>
      </c:spPr>
    </c:title>
    <c:autoTitleDeleted val="0"/>
    <c:plotArea>
      <c:layout>
        <c:manualLayout>
          <c:layoutTarget val="inner"/>
          <c:xMode val="edge"/>
          <c:yMode val="edge"/>
          <c:x val="0.17560975609756097"/>
          <c:y val="0.30960854092526691"/>
          <c:w val="0.34634146341463412"/>
          <c:h val="0.50533807829181498"/>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C2A3-4F38-9903-67027214DDB8}"/>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1-C2A3-4F38-9903-67027214DDB8}"/>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C2A3-4F38-9903-67027214DDB8}"/>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C2A3-4F38-9903-67027214DDB8}"/>
              </c:ext>
            </c:extLst>
          </c:dPt>
          <c:dLbls>
            <c:dLbl>
              <c:idx val="0"/>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dLbl>
            <c:numFmt formatCode="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Sales!$A$16:$A$19</c:f>
              <c:strCache>
                <c:ptCount val="4"/>
                <c:pt idx="0">
                  <c:v>COGS: Labor</c:v>
                </c:pt>
                <c:pt idx="1">
                  <c:v>COGS: Payroll Taxes</c:v>
                </c:pt>
                <c:pt idx="2">
                  <c:v>COGS: Materials</c:v>
                </c:pt>
                <c:pt idx="3">
                  <c:v>COGS: Freight</c:v>
                </c:pt>
              </c:strCache>
            </c:strRef>
          </c:cat>
          <c:val>
            <c:numRef>
              <c:f>Sales!$N$16:$N$19</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C2A3-4F38-9903-67027214DDB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24390243902434"/>
          <c:y val="0.42704626334519574"/>
          <c:w val="0.29024390243902437"/>
          <c:h val="0.27402135231316727"/>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Gross Profit</a:t>
            </a:r>
          </a:p>
        </c:rich>
      </c:tx>
      <c:layout>
        <c:manualLayout>
          <c:xMode val="edge"/>
          <c:yMode val="edge"/>
          <c:x val="0.40876009532793334"/>
          <c:y val="3.5587188612099648E-2"/>
        </c:manualLayout>
      </c:layout>
      <c:overlay val="0"/>
      <c:spPr>
        <a:noFill/>
        <a:ln w="25400">
          <a:noFill/>
        </a:ln>
      </c:spPr>
    </c:title>
    <c:autoTitleDeleted val="0"/>
    <c:plotArea>
      <c:layout>
        <c:manualLayout>
          <c:layoutTarget val="inner"/>
          <c:xMode val="edge"/>
          <c:yMode val="edge"/>
          <c:x val="0.23601029313577102"/>
          <c:y val="0.30960854092526691"/>
          <c:w val="0.34549960438432459"/>
          <c:h val="0.50533807829181498"/>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4B1A-440C-A35D-D8F61E7D3CF7}"/>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1-4B1A-440C-A35D-D8F61E7D3CF7}"/>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4B1A-440C-A35D-D8F61E7D3CF7}"/>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4B1A-440C-A35D-D8F61E7D3CF7}"/>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4-4B1A-440C-A35D-D8F61E7D3CF7}"/>
              </c:ext>
            </c:extLst>
          </c:dPt>
          <c:dLbls>
            <c:numFmt formatCode="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Graphs!$I$22:$I$26</c:f>
              <c:strCache>
                <c:ptCount val="5"/>
                <c:pt idx="0">
                  <c:v>Product #1</c:v>
                </c:pt>
                <c:pt idx="1">
                  <c:v>Product #2</c:v>
                </c:pt>
                <c:pt idx="2">
                  <c:v>Product #3</c:v>
                </c:pt>
                <c:pt idx="3">
                  <c:v>Product #4</c:v>
                </c:pt>
                <c:pt idx="4">
                  <c:v>Product #5</c:v>
                </c:pt>
              </c:strCache>
            </c:strRef>
          </c:cat>
          <c:val>
            <c:numRef>
              <c:f>Graphs!$J$22:$J$26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4B1A-440C-A35D-D8F61E7D3CF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1022090323929641"/>
          <c:y val="0.3914590747330961"/>
          <c:w val="0.17031670638663887"/>
          <c:h val="0.34163701067615659"/>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0</xdr:row>
      <xdr:rowOff>857250</xdr:rowOff>
    </xdr:to>
    <xdr:pic>
      <xdr:nvPicPr>
        <xdr:cNvPr id="6" name="Picture 5">
          <a:extLst>
            <a:ext uri="{FF2B5EF4-FFF2-40B4-BE49-F238E27FC236}">
              <a16:creationId xmlns:a16="http://schemas.microsoft.com/office/drawing/2014/main" xmlns="" id="{E80B6BD9-48A1-402D-8A33-24CC58CC7B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0</xdr:row>
      <xdr:rowOff>857250</xdr:rowOff>
    </xdr:to>
    <xdr:pic>
      <xdr:nvPicPr>
        <xdr:cNvPr id="4" name="Picture 3">
          <a:extLst>
            <a:ext uri="{FF2B5EF4-FFF2-40B4-BE49-F238E27FC236}">
              <a16:creationId xmlns:a16="http://schemas.microsoft.com/office/drawing/2014/main" xmlns="" id="{EB8A6DB6-3E66-4E45-AFE1-71A505F688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1</xdr:row>
      <xdr:rowOff>114300</xdr:rowOff>
    </xdr:from>
    <xdr:to>
      <xdr:col>6</xdr:col>
      <xdr:colOff>428625</xdr:colOff>
      <xdr:row>18</xdr:row>
      <xdr:rowOff>38100</xdr:rowOff>
    </xdr:to>
    <xdr:graphicFrame macro="">
      <xdr:nvGraphicFramePr>
        <xdr:cNvPr id="13315" name="Chart 3">
          <a:extLst>
            <a:ext uri="{FF2B5EF4-FFF2-40B4-BE49-F238E27FC236}">
              <a16:creationId xmlns:a16="http://schemas.microsoft.com/office/drawing/2014/main" xmlns="" id="{F6B1BACA-3725-47C0-AB22-41FFD46F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18</xdr:row>
      <xdr:rowOff>66675</xdr:rowOff>
    </xdr:from>
    <xdr:to>
      <xdr:col>6</xdr:col>
      <xdr:colOff>438150</xdr:colOff>
      <xdr:row>34</xdr:row>
      <xdr:rowOff>152400</xdr:rowOff>
    </xdr:to>
    <xdr:graphicFrame macro="">
      <xdr:nvGraphicFramePr>
        <xdr:cNvPr id="13316" name="Chart 4">
          <a:extLst>
            <a:ext uri="{FF2B5EF4-FFF2-40B4-BE49-F238E27FC236}">
              <a16:creationId xmlns:a16="http://schemas.microsoft.com/office/drawing/2014/main" xmlns="" id="{D0A5C9F1-49D1-4E3A-A44B-AE18EDF19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485775</xdr:colOff>
      <xdr:row>1</xdr:row>
      <xdr:rowOff>114300</xdr:rowOff>
    </xdr:from>
    <xdr:to>
      <xdr:col>13</xdr:col>
      <xdr:colOff>123825</xdr:colOff>
      <xdr:row>18</xdr:row>
      <xdr:rowOff>38100</xdr:rowOff>
    </xdr:to>
    <xdr:graphicFrame macro="">
      <xdr:nvGraphicFramePr>
        <xdr:cNvPr id="13317" name="Chart 5">
          <a:extLst>
            <a:ext uri="{FF2B5EF4-FFF2-40B4-BE49-F238E27FC236}">
              <a16:creationId xmlns:a16="http://schemas.microsoft.com/office/drawing/2014/main" xmlns="" id="{75C504CE-83B0-4384-A90D-48A5D426E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485775</xdr:colOff>
      <xdr:row>18</xdr:row>
      <xdr:rowOff>76200</xdr:rowOff>
    </xdr:from>
    <xdr:to>
      <xdr:col>13</xdr:col>
      <xdr:colOff>133350</xdr:colOff>
      <xdr:row>35</xdr:row>
      <xdr:rowOff>0</xdr:rowOff>
    </xdr:to>
    <xdr:graphicFrame macro="">
      <xdr:nvGraphicFramePr>
        <xdr:cNvPr id="13319" name="Chart 7">
          <a:extLst>
            <a:ext uri="{FF2B5EF4-FFF2-40B4-BE49-F238E27FC236}">
              <a16:creationId xmlns:a16="http://schemas.microsoft.com/office/drawing/2014/main" xmlns="" id="{3BA69200-EA38-41F5-9924-B2B4EC921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76200</xdr:colOff>
      <xdr:row>0</xdr:row>
      <xdr:rowOff>857250</xdr:rowOff>
    </xdr:to>
    <xdr:pic>
      <xdr:nvPicPr>
        <xdr:cNvPr id="4" name="Picture 3">
          <a:extLst>
            <a:ext uri="{FF2B5EF4-FFF2-40B4-BE49-F238E27FC236}">
              <a16:creationId xmlns:a16="http://schemas.microsoft.com/office/drawing/2014/main" xmlns="" id="{0A2DFE9E-C7CD-41F2-B9EA-D78E5E1178F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0</xdr:row>
      <xdr:rowOff>857250</xdr:rowOff>
    </xdr:to>
    <xdr:pic>
      <xdr:nvPicPr>
        <xdr:cNvPr id="3" name="Picture 2">
          <a:extLst>
            <a:ext uri="{FF2B5EF4-FFF2-40B4-BE49-F238E27FC236}">
              <a16:creationId xmlns:a16="http://schemas.microsoft.com/office/drawing/2014/main" xmlns="" id="{FCDE6AE2-FDCC-4E2B-BE43-AD0FFC8E4D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0</xdr:row>
      <xdr:rowOff>857250</xdr:rowOff>
    </xdr:to>
    <xdr:pic>
      <xdr:nvPicPr>
        <xdr:cNvPr id="3" name="Picture 2">
          <a:extLst>
            <a:ext uri="{FF2B5EF4-FFF2-40B4-BE49-F238E27FC236}">
              <a16:creationId xmlns:a16="http://schemas.microsoft.com/office/drawing/2014/main" xmlns="" id="{7C4AE3EA-2840-4309-9772-44D4EB671E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0</xdr:row>
      <xdr:rowOff>857250</xdr:rowOff>
    </xdr:to>
    <xdr:pic>
      <xdr:nvPicPr>
        <xdr:cNvPr id="4" name="Picture 3">
          <a:extLst>
            <a:ext uri="{FF2B5EF4-FFF2-40B4-BE49-F238E27FC236}">
              <a16:creationId xmlns:a16="http://schemas.microsoft.com/office/drawing/2014/main" xmlns="" id="{128E009D-42FB-4993-89A7-586DCF67D8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0</xdr:row>
      <xdr:rowOff>857250</xdr:rowOff>
    </xdr:to>
    <xdr:pic>
      <xdr:nvPicPr>
        <xdr:cNvPr id="4" name="Picture 3">
          <a:extLst>
            <a:ext uri="{FF2B5EF4-FFF2-40B4-BE49-F238E27FC236}">
              <a16:creationId xmlns:a16="http://schemas.microsoft.com/office/drawing/2014/main" xmlns="" id="{DB1521EA-53F0-4586-B0D6-657F376F11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857250</xdr:rowOff>
    </xdr:to>
    <xdr:pic>
      <xdr:nvPicPr>
        <xdr:cNvPr id="4" name="Picture 3">
          <a:extLst>
            <a:ext uri="{FF2B5EF4-FFF2-40B4-BE49-F238E27FC236}">
              <a16:creationId xmlns:a16="http://schemas.microsoft.com/office/drawing/2014/main" xmlns="" id="{A92E6F9F-4E55-4ADE-9821-BDA6A289B4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0</xdr:row>
      <xdr:rowOff>857250</xdr:rowOff>
    </xdr:to>
    <xdr:pic>
      <xdr:nvPicPr>
        <xdr:cNvPr id="4" name="Picture 3">
          <a:extLst>
            <a:ext uri="{FF2B5EF4-FFF2-40B4-BE49-F238E27FC236}">
              <a16:creationId xmlns:a16="http://schemas.microsoft.com/office/drawing/2014/main" xmlns="" id="{06F8B6B6-D99C-4C12-ABC6-BAD7CCF00E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657225</xdr:colOff>
      <xdr:row>0</xdr:row>
      <xdr:rowOff>857250</xdr:rowOff>
    </xdr:to>
    <xdr:pic>
      <xdr:nvPicPr>
        <xdr:cNvPr id="6" name="Picture 5">
          <a:extLst>
            <a:ext uri="{FF2B5EF4-FFF2-40B4-BE49-F238E27FC236}">
              <a16:creationId xmlns:a16="http://schemas.microsoft.com/office/drawing/2014/main" xmlns="" id="{F1AAB1FD-0251-4A00-8D04-9FF3A23C79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0</xdr:row>
      <xdr:rowOff>857250</xdr:rowOff>
    </xdr:to>
    <xdr:pic>
      <xdr:nvPicPr>
        <xdr:cNvPr id="4" name="Picture 3">
          <a:extLst>
            <a:ext uri="{FF2B5EF4-FFF2-40B4-BE49-F238E27FC236}">
              <a16:creationId xmlns:a16="http://schemas.microsoft.com/office/drawing/2014/main" xmlns="" id="{83529710-C87A-4CF8-A300-F22854723D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0</xdr:row>
      <xdr:rowOff>857250</xdr:rowOff>
    </xdr:to>
    <xdr:pic>
      <xdr:nvPicPr>
        <xdr:cNvPr id="4" name="Picture 3">
          <a:extLst>
            <a:ext uri="{FF2B5EF4-FFF2-40B4-BE49-F238E27FC236}">
              <a16:creationId xmlns:a16="http://schemas.microsoft.com/office/drawing/2014/main" xmlns="" id="{AC597D3C-465B-4570-BD01-2EE9A06B8D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8"/>
  <sheetViews>
    <sheetView workbookViewId="0">
      <selection sqref="A1:I1"/>
    </sheetView>
  </sheetViews>
  <sheetFormatPr defaultRowHeight="12.75" x14ac:dyDescent="0.2"/>
  <cols>
    <col min="1" max="1" width="14.85546875" style="6" bestFit="1" customWidth="1"/>
    <col min="2" max="2" width="26.28515625" style="6" bestFit="1" customWidth="1"/>
    <col min="3" max="5" width="9.140625" style="6"/>
    <col min="6" max="6" width="0" style="6" hidden="1" customWidth="1"/>
    <col min="7" max="7" width="9.140625" style="6"/>
    <col min="8" max="8" width="0" style="6" hidden="1" customWidth="1"/>
    <col min="9" max="9" width="41.42578125" style="6" customWidth="1"/>
    <col min="10" max="10" width="5.28515625" style="6" customWidth="1"/>
    <col min="11" max="11" width="4.85546875" style="6" hidden="1" customWidth="1"/>
    <col min="12" max="12" width="4" style="6" hidden="1" customWidth="1"/>
    <col min="13" max="13" width="2.7109375" style="6" hidden="1" customWidth="1"/>
    <col min="14" max="14" width="9.140625" style="6" hidden="1" customWidth="1"/>
    <col min="15" max="16384" width="9.140625" style="6"/>
  </cols>
  <sheetData>
    <row r="1" spans="1:14" ht="99.95" customHeight="1" x14ac:dyDescent="0.2">
      <c r="A1" s="185"/>
      <c r="B1" s="185"/>
      <c r="C1" s="185"/>
      <c r="D1" s="185"/>
      <c r="E1" s="185"/>
      <c r="F1" s="185"/>
      <c r="G1" s="185"/>
      <c r="H1" s="185"/>
      <c r="I1" s="185"/>
    </row>
    <row r="4" spans="1:14" x14ac:dyDescent="0.2">
      <c r="A4" s="6" t="s">
        <v>265</v>
      </c>
    </row>
    <row r="5" spans="1:14" x14ac:dyDescent="0.2">
      <c r="A5" s="99"/>
      <c r="K5" s="6" t="s">
        <v>12</v>
      </c>
      <c r="L5" s="6" t="str">
        <f t="shared" ref="L5:L16" si="0">IF(StartMonth="Jan",K5,IF(StartMonth="Feb",K6,IF(StartMonth="Mar",K7,IF(StartMonth="Apr",K8,IF(StartMonth="May",K9,IF(StartMonth="Jun",K10,IF(StartMonth="Jul",K11,IF(StartMonth="Aug",K12,""))))))))</f>
        <v>Jul</v>
      </c>
      <c r="M5" s="6" t="str">
        <f t="shared" ref="M5:M16" si="1">IF(StartMonth="Sep",K13,IF(StartMonth="Oct",K14,IF(StartMonth="Nov",K15,IF(StartMonth="Dec",K16,""))))</f>
        <v/>
      </c>
      <c r="N5" s="6" t="str">
        <f>IF(L5="",M5,L5)</f>
        <v>Jul</v>
      </c>
    </row>
    <row r="6" spans="1:14" ht="26.25" customHeight="1" x14ac:dyDescent="0.2">
      <c r="A6" s="186" t="s">
        <v>70</v>
      </c>
      <c r="B6" s="187"/>
      <c r="C6" s="187"/>
      <c r="D6" s="187"/>
      <c r="E6" s="187"/>
      <c r="F6" s="187"/>
      <c r="G6" s="187"/>
      <c r="H6" s="187"/>
      <c r="I6" s="187"/>
      <c r="K6" s="6" t="s">
        <v>13</v>
      </c>
      <c r="L6" s="6" t="str">
        <f t="shared" si="0"/>
        <v>Aug</v>
      </c>
      <c r="M6" s="6" t="str">
        <f t="shared" si="1"/>
        <v/>
      </c>
      <c r="N6" s="6" t="str">
        <f t="shared" ref="N6:N16" si="2">IF(L6="",M6,L6)</f>
        <v>Aug</v>
      </c>
    </row>
    <row r="7" spans="1:14" x14ac:dyDescent="0.2">
      <c r="K7" s="6" t="s">
        <v>14</v>
      </c>
      <c r="L7" s="6" t="str">
        <f t="shared" si="0"/>
        <v>Sep</v>
      </c>
      <c r="M7" s="6" t="str">
        <f t="shared" si="1"/>
        <v/>
      </c>
      <c r="N7" s="6" t="str">
        <f t="shared" si="2"/>
        <v>Sep</v>
      </c>
    </row>
    <row r="8" spans="1:14" ht="26.25" customHeight="1" x14ac:dyDescent="0.2">
      <c r="A8" s="186" t="s">
        <v>60</v>
      </c>
      <c r="B8" s="187"/>
      <c r="C8" s="187"/>
      <c r="D8" s="187"/>
      <c r="E8" s="187"/>
      <c r="F8" s="187"/>
      <c r="G8" s="187"/>
      <c r="H8" s="187"/>
      <c r="I8" s="187"/>
      <c r="K8" s="6" t="s">
        <v>15</v>
      </c>
      <c r="L8" s="6" t="str">
        <f t="shared" si="0"/>
        <v>Oct</v>
      </c>
      <c r="M8" s="6" t="str">
        <f t="shared" si="1"/>
        <v/>
      </c>
      <c r="N8" s="6" t="str">
        <f t="shared" si="2"/>
        <v>Oct</v>
      </c>
    </row>
    <row r="9" spans="1:14" x14ac:dyDescent="0.2">
      <c r="K9" s="6" t="s">
        <v>6</v>
      </c>
      <c r="L9" s="6" t="str">
        <f t="shared" si="0"/>
        <v>Nov</v>
      </c>
      <c r="M9" s="6" t="str">
        <f t="shared" si="1"/>
        <v/>
      </c>
      <c r="N9" s="6" t="str">
        <f t="shared" si="2"/>
        <v>Nov</v>
      </c>
    </row>
    <row r="10" spans="1:14" ht="39.75" customHeight="1" x14ac:dyDescent="0.2">
      <c r="A10" s="186" t="s">
        <v>61</v>
      </c>
      <c r="B10" s="187"/>
      <c r="C10" s="187"/>
      <c r="D10" s="187"/>
      <c r="E10" s="187"/>
      <c r="F10" s="187"/>
      <c r="G10" s="187"/>
      <c r="H10" s="187"/>
      <c r="I10" s="187"/>
      <c r="K10" s="6" t="s">
        <v>16</v>
      </c>
      <c r="L10" s="6" t="str">
        <f t="shared" si="0"/>
        <v>Dec</v>
      </c>
      <c r="M10" s="6" t="str">
        <f t="shared" si="1"/>
        <v/>
      </c>
      <c r="N10" s="6" t="str">
        <f t="shared" si="2"/>
        <v>Dec</v>
      </c>
    </row>
    <row r="11" spans="1:14" x14ac:dyDescent="0.2">
      <c r="K11" s="6" t="s">
        <v>17</v>
      </c>
      <c r="L11" s="6" t="str">
        <f t="shared" si="0"/>
        <v>Jan</v>
      </c>
      <c r="M11" s="6" t="str">
        <f t="shared" si="1"/>
        <v/>
      </c>
      <c r="N11" s="6" t="str">
        <f t="shared" si="2"/>
        <v>Jan</v>
      </c>
    </row>
    <row r="12" spans="1:14" ht="27" customHeight="1" x14ac:dyDescent="0.2">
      <c r="A12" s="186" t="s">
        <v>120</v>
      </c>
      <c r="B12" s="187"/>
      <c r="C12" s="187"/>
      <c r="D12" s="187"/>
      <c r="E12" s="187"/>
      <c r="F12" s="187"/>
      <c r="G12" s="187"/>
      <c r="H12" s="187"/>
      <c r="I12" s="187"/>
      <c r="K12" s="6" t="s">
        <v>18</v>
      </c>
      <c r="L12" s="6" t="str">
        <f t="shared" si="0"/>
        <v>Feb</v>
      </c>
      <c r="M12" s="6" t="str">
        <f t="shared" si="1"/>
        <v/>
      </c>
      <c r="N12" s="6" t="str">
        <f t="shared" si="2"/>
        <v>Feb</v>
      </c>
    </row>
    <row r="13" spans="1:14" x14ac:dyDescent="0.2">
      <c r="K13" s="6" t="s">
        <v>19</v>
      </c>
      <c r="L13" s="6" t="str">
        <f t="shared" si="0"/>
        <v>Mar</v>
      </c>
      <c r="M13" s="6" t="str">
        <f t="shared" si="1"/>
        <v/>
      </c>
      <c r="N13" s="6" t="str">
        <f t="shared" si="2"/>
        <v>Mar</v>
      </c>
    </row>
    <row r="14" spans="1:14" ht="25.5" customHeight="1" x14ac:dyDescent="0.2">
      <c r="A14" s="186" t="s">
        <v>263</v>
      </c>
      <c r="B14" s="187"/>
      <c r="C14" s="187"/>
      <c r="D14" s="187"/>
      <c r="E14" s="187"/>
      <c r="F14" s="187"/>
      <c r="G14" s="187"/>
      <c r="H14" s="187"/>
      <c r="I14" s="187"/>
      <c r="K14" s="6" t="s">
        <v>20</v>
      </c>
      <c r="L14" s="6" t="str">
        <f t="shared" si="0"/>
        <v>Apr</v>
      </c>
      <c r="M14" s="6" t="str">
        <f t="shared" si="1"/>
        <v/>
      </c>
      <c r="N14" s="6" t="str">
        <f t="shared" si="2"/>
        <v>Apr</v>
      </c>
    </row>
    <row r="15" spans="1:14" x14ac:dyDescent="0.2">
      <c r="K15" s="6" t="s">
        <v>21</v>
      </c>
      <c r="L15" s="6" t="str">
        <f t="shared" si="0"/>
        <v>May</v>
      </c>
      <c r="M15" s="6" t="str">
        <f t="shared" si="1"/>
        <v/>
      </c>
      <c r="N15" s="6" t="str">
        <f t="shared" si="2"/>
        <v>May</v>
      </c>
    </row>
    <row r="16" spans="1:14" x14ac:dyDescent="0.2">
      <c r="A16" s="6" t="s">
        <v>117</v>
      </c>
      <c r="B16" s="3" t="s">
        <v>252</v>
      </c>
      <c r="F16" s="6" t="s">
        <v>118</v>
      </c>
      <c r="H16" s="2" t="s">
        <v>8</v>
      </c>
      <c r="K16" s="6" t="s">
        <v>22</v>
      </c>
      <c r="L16" s="6" t="str">
        <f t="shared" si="0"/>
        <v>Jun</v>
      </c>
      <c r="M16" s="6" t="str">
        <f t="shared" si="1"/>
        <v/>
      </c>
      <c r="N16" s="6" t="str">
        <f t="shared" si="2"/>
        <v>Jun</v>
      </c>
    </row>
    <row r="17" spans="1:11" x14ac:dyDescent="0.2">
      <c r="A17" s="6" t="s">
        <v>260</v>
      </c>
      <c r="B17" s="3">
        <v>2020</v>
      </c>
      <c r="F17" s="6" t="s">
        <v>7</v>
      </c>
      <c r="H17" s="2" t="s">
        <v>9</v>
      </c>
      <c r="K17" s="6" t="s">
        <v>12</v>
      </c>
    </row>
    <row r="18" spans="1:11" x14ac:dyDescent="0.2">
      <c r="A18" s="6" t="s">
        <v>187</v>
      </c>
      <c r="B18" s="3" t="s">
        <v>17</v>
      </c>
      <c r="H18" s="2"/>
      <c r="K18" s="6" t="s">
        <v>13</v>
      </c>
    </row>
    <row r="19" spans="1:11" x14ac:dyDescent="0.2">
      <c r="K19" s="6" t="s">
        <v>14</v>
      </c>
    </row>
    <row r="20" spans="1:11" x14ac:dyDescent="0.2">
      <c r="B20" s="100"/>
      <c r="K20" s="6" t="s">
        <v>15</v>
      </c>
    </row>
    <row r="21" spans="1:11" x14ac:dyDescent="0.2">
      <c r="K21" s="6" t="s">
        <v>6</v>
      </c>
    </row>
    <row r="22" spans="1:11" ht="24.75" customHeight="1" x14ac:dyDescent="0.2">
      <c r="A22" s="186" t="s">
        <v>85</v>
      </c>
      <c r="B22" s="187"/>
      <c r="C22" s="187"/>
      <c r="D22" s="187"/>
      <c r="E22" s="187"/>
      <c r="F22" s="187"/>
      <c r="G22" s="187"/>
      <c r="H22" s="187"/>
      <c r="I22" s="187"/>
      <c r="K22" s="6" t="s">
        <v>16</v>
      </c>
    </row>
    <row r="23" spans="1:11" x14ac:dyDescent="0.2">
      <c r="K23" s="6" t="s">
        <v>17</v>
      </c>
    </row>
    <row r="24" spans="1:11" x14ac:dyDescent="0.2">
      <c r="K24" s="6" t="s">
        <v>18</v>
      </c>
    </row>
    <row r="25" spans="1:11" x14ac:dyDescent="0.2">
      <c r="K25" s="6" t="s">
        <v>19</v>
      </c>
    </row>
    <row r="26" spans="1:11" x14ac:dyDescent="0.2">
      <c r="K26" s="6" t="s">
        <v>20</v>
      </c>
    </row>
    <row r="27" spans="1:11" x14ac:dyDescent="0.2">
      <c r="K27" s="6" t="s">
        <v>21</v>
      </c>
    </row>
    <row r="28" spans="1:11" x14ac:dyDescent="0.2">
      <c r="K28" s="6" t="s">
        <v>22</v>
      </c>
    </row>
  </sheetData>
  <mergeCells count="7">
    <mergeCell ref="A1:I1"/>
    <mergeCell ref="A22:I22"/>
    <mergeCell ref="A6:I6"/>
    <mergeCell ref="A14:I14"/>
    <mergeCell ref="A8:I8"/>
    <mergeCell ref="A10:I10"/>
    <mergeCell ref="A12:I12"/>
  </mergeCells>
  <phoneticPr fontId="2" type="noConversion"/>
  <dataValidations count="3">
    <dataValidation allowBlank="1" showInputMessage="1" showErrorMessage="1" prompt="Type the starting year that you are planning to forecast in this spreadsheet.  For example, if it is March of 2005 and you would like to compare forecast the next 12 months, enter 2005 here and April in the next blue cell. " sqref="B17"/>
    <dataValidation allowBlank="1" showInputMessage="1" showErrorMessage="1" prompt="Type your company name here to customize the spreadsheet and printouts." sqref="B16"/>
    <dataValidation type="list" allowBlank="1" showInputMessage="1" showErrorMessage="1" errorTitle="Starting Month" error="Please select a month from the list._x000a_" prompt="Type the starting month that you are planning to forecast in this spreadsheet.  For example, if it is March of 2005 and you would like to compare forecast the next 12 months, enter April here and 2005 in the previous blue cell. " sqref="B18">
      <formula1>$K$5:$K$16</formula1>
    </dataValidation>
  </dataValidations>
  <pageMargins left="0.75" right="0.75" top="1" bottom="1" header="0.5" footer="0.5"/>
  <pageSetup orientation="landscape"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workbookViewId="0">
      <selection sqref="A1:N1"/>
    </sheetView>
  </sheetViews>
  <sheetFormatPr defaultRowHeight="12.75" x14ac:dyDescent="0.2"/>
  <cols>
    <col min="1" max="1" width="28.42578125" style="6" customWidth="1"/>
    <col min="2" max="2" width="8.85546875" style="88" bestFit="1" customWidth="1"/>
    <col min="3" max="3" width="8.5703125" style="6" bestFit="1" customWidth="1"/>
    <col min="4" max="8" width="8.5703125" style="6" customWidth="1"/>
    <col min="9" max="14" width="8.5703125" style="6" bestFit="1" customWidth="1"/>
    <col min="15" max="15" width="8.28515625" style="72" bestFit="1" customWidth="1"/>
    <col min="16" max="17" width="9.140625" style="72"/>
    <col min="18" max="16384" width="9.140625" style="6"/>
  </cols>
  <sheetData>
    <row r="1" spans="1:17" ht="99.95" customHeight="1" x14ac:dyDescent="0.2">
      <c r="A1" s="193"/>
      <c r="B1" s="193"/>
      <c r="C1" s="193"/>
      <c r="D1" s="193"/>
      <c r="E1" s="193"/>
      <c r="F1" s="193"/>
      <c r="G1" s="193"/>
      <c r="H1" s="193"/>
      <c r="I1" s="193"/>
      <c r="J1" s="193"/>
      <c r="K1" s="193"/>
      <c r="L1" s="193"/>
      <c r="M1" s="193"/>
      <c r="N1" s="193"/>
    </row>
    <row r="2" spans="1:17" ht="18" x14ac:dyDescent="0.25">
      <c r="A2" s="188" t="s">
        <v>219</v>
      </c>
      <c r="B2" s="188"/>
      <c r="C2" s="188"/>
      <c r="D2" s="188"/>
      <c r="E2" s="188"/>
      <c r="F2" s="192"/>
      <c r="G2" s="192"/>
      <c r="H2" s="192"/>
      <c r="I2" s="192"/>
      <c r="J2" s="192"/>
      <c r="K2" s="192"/>
      <c r="L2" s="192"/>
      <c r="M2" s="192"/>
      <c r="N2" s="192"/>
    </row>
    <row r="3" spans="1:17" s="57" customFormat="1" ht="18" x14ac:dyDescent="0.25">
      <c r="A3" s="188" t="str">
        <f>CompanyHeader</f>
        <v>Your Company Name Here (2020 - 2021)</v>
      </c>
      <c r="B3" s="188"/>
      <c r="C3" s="192"/>
      <c r="D3" s="192"/>
      <c r="E3" s="192"/>
      <c r="F3" s="192"/>
      <c r="G3" s="192"/>
      <c r="H3" s="192"/>
      <c r="I3" s="192"/>
      <c r="J3" s="192"/>
      <c r="K3" s="192"/>
      <c r="L3" s="192"/>
      <c r="M3" s="192"/>
      <c r="N3" s="192"/>
      <c r="O3" s="56"/>
      <c r="P3" s="56"/>
      <c r="Q3" s="56"/>
    </row>
    <row r="4" spans="1:17" s="57" customFormat="1" ht="18" x14ac:dyDescent="0.25">
      <c r="A4" s="27"/>
      <c r="B4" s="83"/>
      <c r="C4" s="27"/>
      <c r="D4" s="28"/>
      <c r="E4" s="28"/>
      <c r="F4" s="28"/>
      <c r="G4" s="28"/>
      <c r="H4" s="28"/>
      <c r="I4" s="28"/>
      <c r="J4" s="28"/>
      <c r="K4" s="28"/>
      <c r="L4" s="28"/>
      <c r="M4" s="28"/>
      <c r="N4" s="28"/>
      <c r="O4" s="56"/>
      <c r="P4" s="56"/>
      <c r="Q4" s="56"/>
    </row>
    <row r="5" spans="1:17" s="12" customFormat="1" x14ac:dyDescent="0.2">
      <c r="A5" s="11"/>
      <c r="B5" s="84" t="s">
        <v>211</v>
      </c>
      <c r="C5" s="11" t="str">
        <f>Month1</f>
        <v>Jul</v>
      </c>
      <c r="D5" s="11" t="str">
        <f>Month2</f>
        <v>Aug</v>
      </c>
      <c r="E5" s="11" t="str">
        <f>Month3</f>
        <v>Sep</v>
      </c>
      <c r="F5" s="11" t="str">
        <f>Month4</f>
        <v>Oct</v>
      </c>
      <c r="G5" s="11" t="str">
        <f>Month5</f>
        <v>Nov</v>
      </c>
      <c r="H5" s="11" t="str">
        <f>Month6</f>
        <v>Dec</v>
      </c>
      <c r="I5" s="11" t="str">
        <f>Month7</f>
        <v>Jan</v>
      </c>
      <c r="J5" s="11" t="str">
        <f>Month8</f>
        <v>Feb</v>
      </c>
      <c r="K5" s="11" t="str">
        <f>Month9</f>
        <v>Mar</v>
      </c>
      <c r="L5" s="11" t="str">
        <f>Month10</f>
        <v>Apr</v>
      </c>
      <c r="M5" s="11" t="str">
        <f>Month11</f>
        <v>May</v>
      </c>
      <c r="N5" s="11" t="str">
        <f>Month12</f>
        <v>Jun</v>
      </c>
      <c r="O5" s="111"/>
      <c r="P5" s="111"/>
      <c r="Q5" s="111"/>
    </row>
    <row r="6" spans="1:17" x14ac:dyDescent="0.2">
      <c r="A6" s="13" t="s">
        <v>37</v>
      </c>
      <c r="B6" s="85"/>
      <c r="C6" s="21"/>
      <c r="D6" s="21"/>
      <c r="E6" s="21"/>
      <c r="F6" s="21"/>
      <c r="G6" s="7"/>
      <c r="H6" s="7"/>
      <c r="I6" s="7"/>
      <c r="J6" s="7"/>
      <c r="K6" s="7"/>
      <c r="L6" s="7"/>
      <c r="M6" s="7"/>
      <c r="N6" s="7"/>
    </row>
    <row r="7" spans="1:17" x14ac:dyDescent="0.2">
      <c r="A7" s="7" t="s">
        <v>38</v>
      </c>
      <c r="B7" s="86"/>
      <c r="C7" s="21"/>
      <c r="D7" s="21"/>
      <c r="E7" s="21"/>
      <c r="F7" s="21"/>
      <c r="G7" s="17"/>
      <c r="H7" s="17"/>
      <c r="I7" s="17"/>
      <c r="J7" s="7"/>
      <c r="K7" s="7"/>
      <c r="L7" s="7"/>
      <c r="M7" s="7"/>
      <c r="N7" s="7"/>
    </row>
    <row r="8" spans="1:17" x14ac:dyDescent="0.2">
      <c r="A8" s="7" t="s">
        <v>39</v>
      </c>
      <c r="B8" s="9">
        <f>BeginningCash</f>
        <v>0</v>
      </c>
      <c r="C8" s="44">
        <f>JanEndingCash</f>
        <v>0</v>
      </c>
      <c r="D8" s="44">
        <f>FebEndingCash</f>
        <v>0</v>
      </c>
      <c r="E8" s="44">
        <f>MarEndingCash</f>
        <v>0</v>
      </c>
      <c r="F8" s="44">
        <f>AprEndingCash</f>
        <v>0</v>
      </c>
      <c r="G8" s="16">
        <f>MayEndingCash</f>
        <v>0</v>
      </c>
      <c r="H8" s="16">
        <f>JunEndingCash</f>
        <v>0</v>
      </c>
      <c r="I8" s="16">
        <f>JulEndingCash</f>
        <v>0</v>
      </c>
      <c r="J8" s="9">
        <f>AugEndingCash</f>
        <v>0</v>
      </c>
      <c r="K8" s="9">
        <f>SepEndingCash</f>
        <v>0</v>
      </c>
      <c r="L8" s="9">
        <f>OctEndingCash</f>
        <v>0</v>
      </c>
      <c r="M8" s="9">
        <f>NovEndingCash</f>
        <v>0</v>
      </c>
      <c r="N8" s="9">
        <f>DecEndingCash</f>
        <v>0</v>
      </c>
    </row>
    <row r="9" spans="1:17" x14ac:dyDescent="0.2">
      <c r="A9" s="7" t="s">
        <v>40</v>
      </c>
      <c r="B9" s="9">
        <f>PreviousAR</f>
        <v>0</v>
      </c>
      <c r="C9" s="44">
        <f>JanAR</f>
        <v>0</v>
      </c>
      <c r="D9" s="44">
        <f>FebAR</f>
        <v>0</v>
      </c>
      <c r="E9" s="44">
        <f>MarAR</f>
        <v>0</v>
      </c>
      <c r="F9" s="44">
        <f>AprAR</f>
        <v>0</v>
      </c>
      <c r="G9" s="16">
        <f>MayAR</f>
        <v>0</v>
      </c>
      <c r="H9" s="16">
        <f>JunAR</f>
        <v>0</v>
      </c>
      <c r="I9" s="16">
        <f>JulAR</f>
        <v>0</v>
      </c>
      <c r="J9" s="9">
        <f>AugAR</f>
        <v>0</v>
      </c>
      <c r="K9" s="9">
        <f>SepAR</f>
        <v>0</v>
      </c>
      <c r="L9" s="9">
        <f>OctAR</f>
        <v>0</v>
      </c>
      <c r="M9" s="9">
        <f>NovAR</f>
        <v>0</v>
      </c>
      <c r="N9" s="9">
        <f>DecAR</f>
        <v>0</v>
      </c>
    </row>
    <row r="10" spans="1:17" s="93" customFormat="1" x14ac:dyDescent="0.2">
      <c r="A10" s="23" t="s">
        <v>41</v>
      </c>
      <c r="B10" s="34">
        <f>PreviousInventory</f>
        <v>0</v>
      </c>
      <c r="C10" s="44">
        <f>PreviousInventory+IF(Inventory=0,0,IF(Inventory=1,FebMat,IF(Inventory=2,FebMat+MarMat)))</f>
        <v>0</v>
      </c>
      <c r="D10" s="44">
        <f>PreviousInventory+IF(Inventory=0,0,IF(Inventory=1,MarMat,IF(Inventory=2,MarMat+AprMat)))</f>
        <v>0</v>
      </c>
      <c r="E10" s="44">
        <f>PreviousInventory+IF(Inventory=0,0,IF(Inventory=1,AprMat,IF(Inventory=2,AprMat+MayMat)))</f>
        <v>0</v>
      </c>
      <c r="F10" s="44">
        <f>PreviousInventory+IF(Inventory=0,0,IF(Inventory=1,MayMat,IF(Inventory=2,MayMat+JunMat)))</f>
        <v>0</v>
      </c>
      <c r="G10" s="44">
        <f>PreviousInventory+IF(Inventory=0,0,IF(Inventory=1,JunMat,IF(Inventory=2,JunMat+JulMat)))</f>
        <v>0</v>
      </c>
      <c r="H10" s="44">
        <f>PreviousInventory+IF(Inventory=0,0,IF(Inventory=1,JulMat,IF(Inventory=2,JulMat+AugMat)))</f>
        <v>0</v>
      </c>
      <c r="I10" s="44">
        <f>PreviousInventory+IF(Inventory=0,0,IF(Inventory=1,AugMat,IF(Inventory=2,AugMat+SepMat)))</f>
        <v>0</v>
      </c>
      <c r="J10" s="44">
        <f>PreviousInventory+IF(Inventory=0,0,IF(Inventory=1,SepMat,IF(Inventory=2,SepMat+OctMat)))</f>
        <v>0</v>
      </c>
      <c r="K10" s="44">
        <f>PreviousInventory+IF(Inventory=0,0,IF(Inventory=1,OctMat,IF(Inventory=2,OctMat+NovMat)))</f>
        <v>0</v>
      </c>
      <c r="L10" s="44">
        <f>PreviousInventory+IF(Inventory=0,0,IF(Inventory=1,NovMat,IF(Inventory=2,NovMat+DecMat)))</f>
        <v>0</v>
      </c>
      <c r="M10" s="44">
        <f>PreviousInventory+IF(Inventory=0,0,IF(Inventory=1,DecMat,IF(Inventory=2,DecMat+DecMat)))</f>
        <v>0</v>
      </c>
      <c r="N10" s="44">
        <f>PreviousInventory+IF(Inventory=0,0,IF(Inventory=1,DecMat,IF(Inventory=2,DecMat+DecMat)))</f>
        <v>0</v>
      </c>
      <c r="O10" s="112"/>
      <c r="P10" s="112"/>
      <c r="Q10" s="112"/>
    </row>
    <row r="11" spans="1:17" x14ac:dyDescent="0.2">
      <c r="A11" s="7" t="s">
        <v>42</v>
      </c>
      <c r="B11" s="9">
        <f t="shared" ref="B11:N11" si="0">SUM(B8:B10)</f>
        <v>0</v>
      </c>
      <c r="C11" s="44">
        <f t="shared" si="0"/>
        <v>0</v>
      </c>
      <c r="D11" s="44">
        <f t="shared" si="0"/>
        <v>0</v>
      </c>
      <c r="E11" s="44">
        <f t="shared" si="0"/>
        <v>0</v>
      </c>
      <c r="F11" s="44">
        <f t="shared" si="0"/>
        <v>0</v>
      </c>
      <c r="G11" s="44">
        <f t="shared" si="0"/>
        <v>0</v>
      </c>
      <c r="H11" s="44">
        <f t="shared" si="0"/>
        <v>0</v>
      </c>
      <c r="I11" s="44">
        <f t="shared" si="0"/>
        <v>0</v>
      </c>
      <c r="J11" s="44">
        <f t="shared" si="0"/>
        <v>0</v>
      </c>
      <c r="K11" s="44">
        <f t="shared" si="0"/>
        <v>0</v>
      </c>
      <c r="L11" s="44">
        <f t="shared" si="0"/>
        <v>0</v>
      </c>
      <c r="M11" s="44">
        <f t="shared" si="0"/>
        <v>0</v>
      </c>
      <c r="N11" s="44">
        <f t="shared" si="0"/>
        <v>0</v>
      </c>
    </row>
    <row r="12" spans="1:17" x14ac:dyDescent="0.2">
      <c r="A12" s="7" t="s">
        <v>43</v>
      </c>
      <c r="B12" s="9">
        <f>PreviousFixedAssets</f>
        <v>0</v>
      </c>
      <c r="C12" s="44">
        <f>JanEqmt+PreviousFixedAssets</f>
        <v>0</v>
      </c>
      <c r="D12" s="44">
        <f>C12+FebEqmt</f>
        <v>0</v>
      </c>
      <c r="E12" s="44">
        <f>D12+MarEqmt</f>
        <v>0</v>
      </c>
      <c r="F12" s="44">
        <f>E12+AprEqmt</f>
        <v>0</v>
      </c>
      <c r="G12" s="44">
        <f>F12+MayEqmt</f>
        <v>0</v>
      </c>
      <c r="H12" s="44">
        <f>G12+JunEqmt</f>
        <v>0</v>
      </c>
      <c r="I12" s="44">
        <f>H12+JulEqmt</f>
        <v>0</v>
      </c>
      <c r="J12" s="44">
        <f>I12+AugEqmt</f>
        <v>0</v>
      </c>
      <c r="K12" s="44">
        <f>J12+SepEqmt</f>
        <v>0</v>
      </c>
      <c r="L12" s="44">
        <f>K12+OctEqmt</f>
        <v>0</v>
      </c>
      <c r="M12" s="44">
        <f>L12+NovEqmt</f>
        <v>0</v>
      </c>
      <c r="N12" s="44">
        <f>M12+DecEqmt</f>
        <v>0</v>
      </c>
    </row>
    <row r="13" spans="1:17" x14ac:dyDescent="0.2">
      <c r="A13" s="7" t="s">
        <v>44</v>
      </c>
      <c r="B13" s="9">
        <f>PreviousDepreciation</f>
        <v>0</v>
      </c>
      <c r="C13" s="44">
        <f>JanDepr+PreviousDepreciation</f>
        <v>0</v>
      </c>
      <c r="D13" s="44">
        <f>C13+FebDepr</f>
        <v>0</v>
      </c>
      <c r="E13" s="44">
        <f>D13+MarDepr</f>
        <v>0</v>
      </c>
      <c r="F13" s="44">
        <f>E13+AprDepr</f>
        <v>0</v>
      </c>
      <c r="G13" s="44">
        <f>F13+MayDepr</f>
        <v>0</v>
      </c>
      <c r="H13" s="44">
        <f>G13+JunDepr</f>
        <v>0</v>
      </c>
      <c r="I13" s="44">
        <f>H13+JulDepr</f>
        <v>0</v>
      </c>
      <c r="J13" s="44">
        <f>I13+AugDepr</f>
        <v>0</v>
      </c>
      <c r="K13" s="44">
        <f>J13+SepDepr</f>
        <v>0</v>
      </c>
      <c r="L13" s="44">
        <f>K13+OctDepr</f>
        <v>0</v>
      </c>
      <c r="M13" s="44">
        <f>L13+NovDepr</f>
        <v>0</v>
      </c>
      <c r="N13" s="44">
        <f>M13+DecDepr</f>
        <v>0</v>
      </c>
    </row>
    <row r="14" spans="1:17" s="22" customFormat="1" x14ac:dyDescent="0.2">
      <c r="A14" s="13" t="s">
        <v>45</v>
      </c>
      <c r="B14" s="45">
        <f>B11+B12-B13</f>
        <v>0</v>
      </c>
      <c r="C14" s="45">
        <f>C11+C12-C13</f>
        <v>0</v>
      </c>
      <c r="D14" s="45">
        <f t="shared" ref="D14:N14" si="1">D11+D12-D13</f>
        <v>0</v>
      </c>
      <c r="E14" s="45">
        <f t="shared" si="1"/>
        <v>0</v>
      </c>
      <c r="F14" s="45">
        <f t="shared" si="1"/>
        <v>0</v>
      </c>
      <c r="G14" s="45">
        <f t="shared" si="1"/>
        <v>0</v>
      </c>
      <c r="H14" s="45">
        <f t="shared" si="1"/>
        <v>0</v>
      </c>
      <c r="I14" s="45">
        <f t="shared" si="1"/>
        <v>0</v>
      </c>
      <c r="J14" s="45">
        <f t="shared" si="1"/>
        <v>0</v>
      </c>
      <c r="K14" s="45">
        <f t="shared" si="1"/>
        <v>0</v>
      </c>
      <c r="L14" s="45">
        <f t="shared" si="1"/>
        <v>0</v>
      </c>
      <c r="M14" s="45">
        <f t="shared" si="1"/>
        <v>0</v>
      </c>
      <c r="N14" s="45">
        <f t="shared" si="1"/>
        <v>0</v>
      </c>
      <c r="O14" s="113"/>
      <c r="P14" s="113"/>
      <c r="Q14" s="113"/>
    </row>
    <row r="15" spans="1:17" x14ac:dyDescent="0.2">
      <c r="A15" s="7"/>
      <c r="B15" s="9"/>
      <c r="C15" s="44"/>
      <c r="D15" s="44"/>
      <c r="E15" s="44"/>
      <c r="F15" s="44"/>
      <c r="G15" s="16" t="str">
        <f t="shared" ref="G15:H17" si="2">IF(C15&lt;&gt;0,(ABS((D15-C15)/C15)),"")</f>
        <v/>
      </c>
      <c r="H15" s="16" t="str">
        <f t="shared" si="2"/>
        <v/>
      </c>
      <c r="I15" s="16" t="str">
        <f>IF(F15&lt;&gt;0,IF($F$5&lt;&gt;"",(E15-F15)/F15,""),"")</f>
        <v/>
      </c>
      <c r="J15" s="9"/>
      <c r="K15" s="9"/>
      <c r="L15" s="9"/>
      <c r="M15" s="9"/>
      <c r="N15" s="9"/>
    </row>
    <row r="16" spans="1:17" x14ac:dyDescent="0.2">
      <c r="A16" s="13" t="s">
        <v>46</v>
      </c>
      <c r="B16" s="45"/>
      <c r="C16" s="44"/>
      <c r="D16" s="44"/>
      <c r="E16" s="44"/>
      <c r="F16" s="44"/>
      <c r="G16" s="16" t="str">
        <f t="shared" si="2"/>
        <v/>
      </c>
      <c r="H16" s="16" t="str">
        <f t="shared" si="2"/>
        <v/>
      </c>
      <c r="I16" s="16" t="str">
        <f>IF(F16&lt;&gt;0,IF($F$5&lt;&gt;"",(E16-F16)/F16,""),"")</f>
        <v/>
      </c>
      <c r="J16" s="9"/>
      <c r="K16" s="9"/>
      <c r="L16" s="9"/>
      <c r="M16" s="9"/>
      <c r="N16" s="9"/>
    </row>
    <row r="17" spans="1:17" x14ac:dyDescent="0.2">
      <c r="A17" s="7" t="s">
        <v>47</v>
      </c>
      <c r="B17" s="9"/>
      <c r="C17" s="44"/>
      <c r="D17" s="44"/>
      <c r="E17" s="44"/>
      <c r="F17" s="44"/>
      <c r="G17" s="16" t="str">
        <f t="shared" si="2"/>
        <v/>
      </c>
      <c r="H17" s="16" t="str">
        <f t="shared" si="2"/>
        <v/>
      </c>
      <c r="I17" s="16" t="str">
        <f>IF(F17&lt;&gt;0,IF($F$5&lt;&gt;"",(E17-F17)/F17,""),"")</f>
        <v/>
      </c>
      <c r="J17" s="9"/>
      <c r="K17" s="9"/>
      <c r="L17" s="9"/>
      <c r="M17" s="9"/>
      <c r="N17" s="9"/>
    </row>
    <row r="18" spans="1:17" s="93" customFormat="1" x14ac:dyDescent="0.2">
      <c r="A18" s="23" t="s">
        <v>48</v>
      </c>
      <c r="B18" s="34">
        <f>PreviousPayables</f>
        <v>0</v>
      </c>
      <c r="C18" s="44">
        <f>IF(AP=0,0,IF(AP=1,IF(Inventory=0,JanMat,IF(Inventory=1,FebMat,IF(Inventory=2,MarMat))))+IF(AP=2,IF(Inventory=0,0+JanMat,IF(Inventory=1,JanMat+FebMat,IF(Inventory=2,FebMat+MarMat)))))</f>
        <v>0</v>
      </c>
      <c r="D18" s="44">
        <f>IF(AP=0,0,IF(AP=1,IF(Inventory=0,FebMat,IF(Inventory=1,MarMat,IF(Inventory=2,AprMat))))+IF(AP=2,IF(Inventory=0,JanMat+FebMat,IF(Inventory=1,FebMat+MarMat,IF(Inventory=2,MarMat+AprMat)))))</f>
        <v>0</v>
      </c>
      <c r="E18" s="44">
        <f>IF(AP=0,0,IF(AP=1,IF(Inventory=0,MarMat,IF(Inventory=1,AprMat,IF(Inventory=2,MayMat))))+IF(AP=2,IF(Inventory=0,FebMat+MarMat,IF(Inventory=1,MarMat+AprMat,IF(Inventory=2,AprMat+MayMat)))))</f>
        <v>0</v>
      </c>
      <c r="F18" s="44">
        <f>IF(AP=0,0,IF(AP=1,IF(Inventory=0,AprMat,IF(Inventory=1,MayMat,IF(Inventory=2,JunMat))))+IF(AP=2,IF(Inventory=0,MarMat+AprMat,IF(Inventory=1,AprMat+MayMat,IF(Inventory=2,MayMat+JunMat)))))</f>
        <v>0</v>
      </c>
      <c r="G18" s="44">
        <f>IF(AP=0,0,IF(AP=1,IF(Inventory=0,MayMat,IF(Inventory=1,JunMat,IF(Inventory=2,JulMat))))+IF(AP=2,IF(Inventory=0,AprMat+MayMat,IF(Inventory=1,MayMat+JunMat,IF(Inventory=2,JunMat+JulMat)))))</f>
        <v>0</v>
      </c>
      <c r="H18" s="44">
        <f>IF(AP=0,0,IF(AP=1,IF(Inventory=0,JunMat,IF(Inventory=1,JulMat,IF(Inventory=2,AugMat))))+IF(AP=2,IF(Inventory=0,MayMat+JunMat,IF(Inventory=1,JunMat+JulMat,IF(Inventory=2,JulMat+AugMat)))))</f>
        <v>0</v>
      </c>
      <c r="I18" s="44">
        <f>IF(AP=0,0,IF(AP=1,IF(Inventory=0,JulMat,IF(Inventory=1,AugMat,IF(Inventory=2,SepMat))))+IF(AP=2,IF(Inventory=0,JunMat+JulMat,IF(Inventory=1,JulMat+AugMat,IF(Inventory=2,AugMat+SepMat)))))</f>
        <v>0</v>
      </c>
      <c r="J18" s="44">
        <f>IF(AP=0,0,IF(AP=1,IF(Inventory=0,AugMat,IF(Inventory=1,SepMat,IF(Inventory=2,OctMat))))+IF(AP=2,IF(Inventory=0,JulMat+AugMat,IF(Inventory=1,AugMat+SepMat,IF(Inventory=2,SepMat+OctMat)))))</f>
        <v>0</v>
      </c>
      <c r="K18" s="44">
        <f>IF(AP=0,0,IF(AP=1,IF(Inventory=0,SepMat,IF(Inventory=1,OctMat,IF(Inventory=2,NovMat))))+IF(AP=2,IF(Inventory=0,AugMat+SepMat,IF(Inventory=1,SepMat+OctMat,IF(Inventory=2,OctMat+NovMat)))))</f>
        <v>0</v>
      </c>
      <c r="L18" s="44">
        <f>IF(AP=0,0,IF(AP=1,IF(Inventory=0,OctMat,IF(Inventory=1,NovMat,IF(Inventory=2,DecMat))))+IF(AP=2,IF(Inventory=0,SepMat+OctMat,IF(Inventory=1,OctMat+NovMat,IF(Inventory=2,NovMat+DecMat)))))</f>
        <v>0</v>
      </c>
      <c r="M18" s="44">
        <f>IF(AP=0,0,IF(AP=1,IF(Inventory=0,NovMat,IF(Inventory=1,DecMat,IF(Inventory=2,DecMat))))+IF(AP=2,IF(Inventory=0,OctMat+NovMat,IF(Inventory=1,NovMat+DecMat,IF(Inventory=2,DecMat+DecMat)))))</f>
        <v>0</v>
      </c>
      <c r="N18" s="44">
        <f>IF(AP=0,0,IF(AP=1,IF(Inventory=0,DecMat,IF(Inventory=1,DecMat,IF(Inventory=2,DecMat))))+IF(AP=2,IF(Inventory=0,NovMat+DecMat,IF(Inventory=1,DecMat+DecMat,IF(Inventory=2,DecMat+DecMat)))))</f>
        <v>0</v>
      </c>
      <c r="O18" s="112"/>
      <c r="P18" s="112"/>
      <c r="Q18" s="112"/>
    </row>
    <row r="19" spans="1:17" s="93" customFormat="1" x14ac:dyDescent="0.2">
      <c r="A19" s="23" t="s">
        <v>49</v>
      </c>
      <c r="B19" s="34">
        <f>PreviousAccruedPayable</f>
        <v>0</v>
      </c>
      <c r="C19" s="44">
        <f>JanPRTax+JanOEPRTax+JanCommish</f>
        <v>0</v>
      </c>
      <c r="D19" s="44">
        <f>FebPRTax+FebOEPRTax+FebCommish</f>
        <v>0</v>
      </c>
      <c r="E19" s="44">
        <f>MarPRTax+MarOEPRTax+MarCommish</f>
        <v>0</v>
      </c>
      <c r="F19" s="44">
        <f>AprPRTax+AprOEPRTax+AprCommish</f>
        <v>0</v>
      </c>
      <c r="G19" s="44">
        <f>MayPRTax+MayOEPRTax+MayCommish</f>
        <v>0</v>
      </c>
      <c r="H19" s="44">
        <f>JunPRTax+JunOEPRTax+JunCommish</f>
        <v>0</v>
      </c>
      <c r="I19" s="44">
        <f>JulPRTax+JulOEPRTax+JulCommish</f>
        <v>0</v>
      </c>
      <c r="J19" s="34">
        <f>AugPRTax+AugOEPRTax+AugCommish</f>
        <v>0</v>
      </c>
      <c r="K19" s="34">
        <f>SepPRTax+SepOEPRTax+SepCommish</f>
        <v>0</v>
      </c>
      <c r="L19" s="34">
        <f>OctPRTax+OctOEPRTax+OctCommish</f>
        <v>0</v>
      </c>
      <c r="M19" s="34">
        <f>NovPRTax+NovOEPRTax+NovCommish</f>
        <v>0</v>
      </c>
      <c r="N19" s="34">
        <f>DecPRTax+DecOEPRTax+DecCommish</f>
        <v>0</v>
      </c>
      <c r="O19" s="112"/>
      <c r="P19" s="112"/>
      <c r="Q19" s="112"/>
    </row>
    <row r="20" spans="1:17" x14ac:dyDescent="0.2">
      <c r="A20" s="7" t="s">
        <v>50</v>
      </c>
      <c r="B20" s="9">
        <f>ExistingShort</f>
        <v>0</v>
      </c>
      <c r="C20" s="44">
        <f>JanShort</f>
        <v>0</v>
      </c>
      <c r="D20" s="44">
        <f>FebShort</f>
        <v>0</v>
      </c>
      <c r="E20" s="44">
        <f>MarShort</f>
        <v>0</v>
      </c>
      <c r="F20" s="44">
        <f>AprShort</f>
        <v>0</v>
      </c>
      <c r="G20" s="16">
        <f>MayShort</f>
        <v>0</v>
      </c>
      <c r="H20" s="16">
        <f>JunShort</f>
        <v>0</v>
      </c>
      <c r="I20" s="16">
        <f>JulShort</f>
        <v>0</v>
      </c>
      <c r="J20" s="9">
        <f>AugShort</f>
        <v>0</v>
      </c>
      <c r="K20" s="9">
        <f>SepShort</f>
        <v>0</v>
      </c>
      <c r="L20" s="9">
        <f>OctShort</f>
        <v>0</v>
      </c>
      <c r="M20" s="9">
        <f>NovShort</f>
        <v>0</v>
      </c>
      <c r="N20" s="9">
        <f>DecShort</f>
        <v>0</v>
      </c>
    </row>
    <row r="21" spans="1:17" x14ac:dyDescent="0.2">
      <c r="A21" s="7" t="s">
        <v>51</v>
      </c>
      <c r="B21" s="9">
        <f t="shared" ref="B21:N21" si="3">SUM(B18:B20)</f>
        <v>0</v>
      </c>
      <c r="C21" s="44">
        <f t="shared" si="3"/>
        <v>0</v>
      </c>
      <c r="D21" s="44">
        <f t="shared" si="3"/>
        <v>0</v>
      </c>
      <c r="E21" s="44">
        <f t="shared" si="3"/>
        <v>0</v>
      </c>
      <c r="F21" s="44">
        <f t="shared" si="3"/>
        <v>0</v>
      </c>
      <c r="G21" s="44">
        <f t="shared" si="3"/>
        <v>0</v>
      </c>
      <c r="H21" s="44">
        <f t="shared" si="3"/>
        <v>0</v>
      </c>
      <c r="I21" s="44">
        <f t="shared" si="3"/>
        <v>0</v>
      </c>
      <c r="J21" s="44">
        <f t="shared" si="3"/>
        <v>0</v>
      </c>
      <c r="K21" s="44">
        <f t="shared" si="3"/>
        <v>0</v>
      </c>
      <c r="L21" s="44">
        <f t="shared" si="3"/>
        <v>0</v>
      </c>
      <c r="M21" s="44">
        <f t="shared" si="3"/>
        <v>0</v>
      </c>
      <c r="N21" s="44">
        <f t="shared" si="3"/>
        <v>0</v>
      </c>
    </row>
    <row r="22" spans="1:17" x14ac:dyDescent="0.2">
      <c r="A22" s="7" t="s">
        <v>81</v>
      </c>
      <c r="B22" s="9">
        <f>ExistingLong</f>
        <v>0</v>
      </c>
      <c r="C22" s="44">
        <f>JanLong</f>
        <v>0</v>
      </c>
      <c r="D22" s="44">
        <f>FebLong</f>
        <v>0</v>
      </c>
      <c r="E22" s="44">
        <f>MarLong</f>
        <v>0</v>
      </c>
      <c r="F22" s="44">
        <f>AprLong</f>
        <v>0</v>
      </c>
      <c r="G22" s="44">
        <f>MayLong</f>
        <v>0</v>
      </c>
      <c r="H22" s="44">
        <f>JunLong</f>
        <v>0</v>
      </c>
      <c r="I22" s="44">
        <f>JulLong</f>
        <v>0</v>
      </c>
      <c r="J22" s="34">
        <f>AugLong</f>
        <v>0</v>
      </c>
      <c r="K22" s="34">
        <f>SepLong</f>
        <v>0</v>
      </c>
      <c r="L22" s="34">
        <f>OctLong</f>
        <v>0</v>
      </c>
      <c r="M22" s="34">
        <f>NovLong</f>
        <v>0</v>
      </c>
      <c r="N22" s="34">
        <f>DecLong</f>
        <v>0</v>
      </c>
    </row>
    <row r="23" spans="1:17" x14ac:dyDescent="0.2">
      <c r="A23" s="23" t="s">
        <v>52</v>
      </c>
      <c r="B23" s="34"/>
      <c r="C23" s="44"/>
      <c r="D23" s="44"/>
      <c r="E23" s="44"/>
      <c r="F23" s="44"/>
      <c r="G23" s="16" t="str">
        <f>IF(C23&lt;&gt;0,(ABS((D23-C23)/C23)),"")</f>
        <v/>
      </c>
      <c r="H23" s="16" t="str">
        <f>IF(D23&lt;&gt;0,(ABS((E23-D23)/D23)),"")</f>
        <v/>
      </c>
      <c r="I23" s="16" t="str">
        <f>IF(F23&lt;&gt;0,IF($F$5&lt;&gt;"",(E23-F23)/F23,""),"")</f>
        <v/>
      </c>
      <c r="J23" s="9"/>
      <c r="K23" s="9"/>
      <c r="L23" s="9"/>
      <c r="M23" s="9"/>
      <c r="N23" s="9"/>
    </row>
    <row r="24" spans="1:17" x14ac:dyDescent="0.2">
      <c r="A24" s="23" t="s">
        <v>53</v>
      </c>
      <c r="B24" s="34">
        <f>PreviousCapitalStock</f>
        <v>0</v>
      </c>
      <c r="C24" s="44">
        <f>JanEquity+PreviousCapitalStock</f>
        <v>0</v>
      </c>
      <c r="D24" s="44">
        <f>C24+FebEquity</f>
        <v>0</v>
      </c>
      <c r="E24" s="44">
        <f>D24+MarEquity</f>
        <v>0</v>
      </c>
      <c r="F24" s="44">
        <f>E24+AprEquity</f>
        <v>0</v>
      </c>
      <c r="G24" s="44">
        <f>F24+MayEquity</f>
        <v>0</v>
      </c>
      <c r="H24" s="44">
        <f>G24+JunEquity</f>
        <v>0</v>
      </c>
      <c r="I24" s="44">
        <f>H24+JulEquity</f>
        <v>0</v>
      </c>
      <c r="J24" s="44">
        <f>I24+AugEquity</f>
        <v>0</v>
      </c>
      <c r="K24" s="44">
        <f>J24+SepEquity</f>
        <v>0</v>
      </c>
      <c r="L24" s="44">
        <f>K24+OctEquity</f>
        <v>0</v>
      </c>
      <c r="M24" s="44">
        <f>L24+NovEquity</f>
        <v>0</v>
      </c>
      <c r="N24" s="44">
        <f>M24+DecEquity</f>
        <v>0</v>
      </c>
    </row>
    <row r="25" spans="1:17" x14ac:dyDescent="0.2">
      <c r="A25" s="23" t="s">
        <v>54</v>
      </c>
      <c r="B25" s="34">
        <f>PreviousRetained</f>
        <v>0</v>
      </c>
      <c r="C25" s="44">
        <f>JanIncome+PreviousRetained</f>
        <v>0</v>
      </c>
      <c r="D25" s="44">
        <f>C25+FebIncome</f>
        <v>0</v>
      </c>
      <c r="E25" s="44">
        <f>D25+MarIncome</f>
        <v>0</v>
      </c>
      <c r="F25" s="44">
        <f>E25+AprIncome</f>
        <v>0</v>
      </c>
      <c r="G25" s="44">
        <f>F25+MayIncome</f>
        <v>0</v>
      </c>
      <c r="H25" s="44">
        <f>G25+JunIncome</f>
        <v>0</v>
      </c>
      <c r="I25" s="44">
        <f>H25+JulIncome</f>
        <v>0</v>
      </c>
      <c r="J25" s="44">
        <f>I25+AugIncome</f>
        <v>0</v>
      </c>
      <c r="K25" s="44">
        <f>J25+SepIncome</f>
        <v>0</v>
      </c>
      <c r="L25" s="44">
        <f>K25+OctIncome</f>
        <v>0</v>
      </c>
      <c r="M25" s="44">
        <f>L25+NovIncome</f>
        <v>0</v>
      </c>
      <c r="N25" s="44">
        <f>M25+DecIncome</f>
        <v>0</v>
      </c>
    </row>
    <row r="26" spans="1:17" x14ac:dyDescent="0.2">
      <c r="A26" s="23" t="s">
        <v>55</v>
      </c>
      <c r="B26" s="44">
        <f>B24+B25</f>
        <v>0</v>
      </c>
      <c r="C26" s="44">
        <f>C24+C25</f>
        <v>0</v>
      </c>
      <c r="D26" s="44">
        <f t="shared" ref="D26:N26" si="4">D24+D25</f>
        <v>0</v>
      </c>
      <c r="E26" s="44">
        <f t="shared" si="4"/>
        <v>0</v>
      </c>
      <c r="F26" s="44">
        <f t="shared" si="4"/>
        <v>0</v>
      </c>
      <c r="G26" s="44">
        <f t="shared" si="4"/>
        <v>0</v>
      </c>
      <c r="H26" s="44">
        <f t="shared" si="4"/>
        <v>0</v>
      </c>
      <c r="I26" s="44">
        <f t="shared" si="4"/>
        <v>0</v>
      </c>
      <c r="J26" s="44">
        <f t="shared" si="4"/>
        <v>0</v>
      </c>
      <c r="K26" s="44">
        <f t="shared" si="4"/>
        <v>0</v>
      </c>
      <c r="L26" s="44">
        <f t="shared" si="4"/>
        <v>0</v>
      </c>
      <c r="M26" s="44">
        <f t="shared" si="4"/>
        <v>0</v>
      </c>
      <c r="N26" s="44">
        <f t="shared" si="4"/>
        <v>0</v>
      </c>
    </row>
    <row r="27" spans="1:17" x14ac:dyDescent="0.2">
      <c r="A27" s="7"/>
      <c r="B27" s="86"/>
      <c r="C27" s="44"/>
      <c r="D27" s="44"/>
      <c r="E27" s="44"/>
      <c r="F27" s="44"/>
      <c r="G27" s="16" t="str">
        <f>IF(C27&lt;&gt;0,(ABS((D27-C27)/C27)),"")</f>
        <v/>
      </c>
      <c r="H27" s="16" t="str">
        <f>IF(D27&lt;&gt;0,(ABS((E27-D27)/D27)),"")</f>
        <v/>
      </c>
      <c r="I27" s="16" t="str">
        <f>IF(F27&lt;&gt;0,IF($F$5&lt;&gt;"",(E27-F27)/F27,""),"")</f>
        <v/>
      </c>
      <c r="J27" s="9"/>
      <c r="K27" s="9"/>
      <c r="L27" s="9"/>
      <c r="M27" s="9"/>
      <c r="N27" s="9"/>
    </row>
    <row r="28" spans="1:17" s="22" customFormat="1" ht="25.5" x14ac:dyDescent="0.2">
      <c r="A28" s="53" t="s">
        <v>84</v>
      </c>
      <c r="B28" s="42">
        <f>B21+B22+B26</f>
        <v>0</v>
      </c>
      <c r="C28" s="42">
        <f>C21+C22+C26</f>
        <v>0</v>
      </c>
      <c r="D28" s="42">
        <f t="shared" ref="D28:N28" si="5">D21+D22+D26</f>
        <v>0</v>
      </c>
      <c r="E28" s="42">
        <f t="shared" si="5"/>
        <v>0</v>
      </c>
      <c r="F28" s="42">
        <f t="shared" si="5"/>
        <v>0</v>
      </c>
      <c r="G28" s="42">
        <f t="shared" si="5"/>
        <v>0</v>
      </c>
      <c r="H28" s="42">
        <f t="shared" si="5"/>
        <v>0</v>
      </c>
      <c r="I28" s="42">
        <f t="shared" si="5"/>
        <v>0</v>
      </c>
      <c r="J28" s="42">
        <f t="shared" si="5"/>
        <v>0</v>
      </c>
      <c r="K28" s="42">
        <f t="shared" si="5"/>
        <v>0</v>
      </c>
      <c r="L28" s="42">
        <f t="shared" si="5"/>
        <v>0</v>
      </c>
      <c r="M28" s="42">
        <f t="shared" si="5"/>
        <v>0</v>
      </c>
      <c r="N28" s="42">
        <f t="shared" si="5"/>
        <v>0</v>
      </c>
      <c r="O28" s="113"/>
      <c r="P28" s="113"/>
      <c r="Q28" s="113"/>
    </row>
    <row r="29" spans="1:17" x14ac:dyDescent="0.2">
      <c r="B29" s="24" t="str">
        <f>IF(B30&gt;1,"OUT OF BALANCE!",IF(B30&lt;-1,"OUT OF BALANCE",""))</f>
        <v/>
      </c>
      <c r="C29" s="24" t="str">
        <f>IF(C30&gt;1,"OUT OF BALANCE!",IF(C30&lt;-1,"OUT OF BALANCE",""))</f>
        <v/>
      </c>
      <c r="D29" s="24" t="str">
        <f t="shared" ref="D29:N29" si="6">IF(D30&gt;1,"OUT OF BALANCE!",IF(D30&lt;-1,"OUT OF BALANCE",""))</f>
        <v/>
      </c>
      <c r="E29" s="24" t="str">
        <f t="shared" si="6"/>
        <v/>
      </c>
      <c r="F29" s="24" t="str">
        <f t="shared" si="6"/>
        <v/>
      </c>
      <c r="G29" s="24" t="str">
        <f t="shared" si="6"/>
        <v/>
      </c>
      <c r="H29" s="24" t="str">
        <f t="shared" si="6"/>
        <v/>
      </c>
      <c r="I29" s="24" t="str">
        <f t="shared" si="6"/>
        <v/>
      </c>
      <c r="J29" s="24" t="str">
        <f t="shared" si="6"/>
        <v/>
      </c>
      <c r="K29" s="24" t="str">
        <f t="shared" si="6"/>
        <v/>
      </c>
      <c r="L29" s="24" t="str">
        <f t="shared" si="6"/>
        <v/>
      </c>
      <c r="M29" s="24" t="str">
        <f t="shared" si="6"/>
        <v/>
      </c>
      <c r="N29" s="24" t="str">
        <f t="shared" si="6"/>
        <v/>
      </c>
    </row>
    <row r="30" spans="1:17" hidden="1" x14ac:dyDescent="0.2">
      <c r="B30" s="75">
        <f t="shared" ref="B30:N30" si="7">B28-B14</f>
        <v>0</v>
      </c>
      <c r="C30" s="75">
        <f t="shared" si="7"/>
        <v>0</v>
      </c>
      <c r="D30" s="75">
        <f t="shared" si="7"/>
        <v>0</v>
      </c>
      <c r="E30" s="75">
        <f t="shared" si="7"/>
        <v>0</v>
      </c>
      <c r="F30" s="75">
        <f t="shared" si="7"/>
        <v>0</v>
      </c>
      <c r="G30" s="75">
        <f t="shared" si="7"/>
        <v>0</v>
      </c>
      <c r="H30" s="75">
        <f t="shared" si="7"/>
        <v>0</v>
      </c>
      <c r="I30" s="75">
        <f t="shared" si="7"/>
        <v>0</v>
      </c>
      <c r="J30" s="75">
        <f t="shared" si="7"/>
        <v>0</v>
      </c>
      <c r="K30" s="75">
        <f t="shared" si="7"/>
        <v>0</v>
      </c>
      <c r="L30" s="75">
        <f t="shared" si="7"/>
        <v>0</v>
      </c>
      <c r="M30" s="75">
        <f t="shared" si="7"/>
        <v>0</v>
      </c>
      <c r="N30" s="75">
        <f t="shared" si="7"/>
        <v>0</v>
      </c>
    </row>
    <row r="31" spans="1:17" x14ac:dyDescent="0.2">
      <c r="C31" s="75"/>
      <c r="D31" s="75"/>
      <c r="E31" s="75"/>
      <c r="F31" s="75"/>
      <c r="G31" s="75"/>
      <c r="H31" s="75"/>
      <c r="I31" s="75"/>
      <c r="J31" s="75"/>
      <c r="K31" s="75"/>
      <c r="L31" s="75"/>
      <c r="M31" s="75"/>
      <c r="N31" s="75"/>
    </row>
    <row r="32" spans="1:17" ht="18" x14ac:dyDescent="0.25">
      <c r="A32" s="188" t="s">
        <v>68</v>
      </c>
      <c r="B32" s="188"/>
      <c r="C32" s="188"/>
      <c r="D32" s="188"/>
      <c r="E32" s="188"/>
      <c r="F32" s="188"/>
      <c r="G32" s="192"/>
      <c r="H32" s="192"/>
      <c r="I32" s="192"/>
      <c r="J32" s="192"/>
      <c r="K32" s="192"/>
      <c r="L32" s="192"/>
      <c r="M32" s="192"/>
      <c r="N32" s="192"/>
      <c r="O32" s="192"/>
    </row>
    <row r="33" spans="1:17" s="12" customFormat="1" x14ac:dyDescent="0.2">
      <c r="A33" s="11"/>
      <c r="B33" s="84"/>
      <c r="C33" s="11" t="str">
        <f>C5</f>
        <v>Jul</v>
      </c>
      <c r="D33" s="11" t="str">
        <f>D5</f>
        <v>Aug</v>
      </c>
      <c r="E33" s="11" t="str">
        <f>E5</f>
        <v>Sep</v>
      </c>
      <c r="F33" s="11" t="str">
        <f>F5</f>
        <v>Oct</v>
      </c>
      <c r="G33" s="11" t="str">
        <f t="shared" ref="G33:N33" si="8">G5</f>
        <v>Nov</v>
      </c>
      <c r="H33" s="11" t="str">
        <f t="shared" si="8"/>
        <v>Dec</v>
      </c>
      <c r="I33" s="11" t="str">
        <f t="shared" si="8"/>
        <v>Jan</v>
      </c>
      <c r="J33" s="11" t="str">
        <f t="shared" si="8"/>
        <v>Feb</v>
      </c>
      <c r="K33" s="11" t="str">
        <f t="shared" si="8"/>
        <v>Mar</v>
      </c>
      <c r="L33" s="11" t="str">
        <f t="shared" si="8"/>
        <v>Apr</v>
      </c>
      <c r="M33" s="11" t="str">
        <f t="shared" si="8"/>
        <v>May</v>
      </c>
      <c r="N33" s="11" t="str">
        <f t="shared" si="8"/>
        <v>Jun</v>
      </c>
      <c r="O33" s="11" t="s">
        <v>36</v>
      </c>
      <c r="P33" s="111"/>
      <c r="Q33" s="111"/>
    </row>
    <row r="34" spans="1:17" x14ac:dyDescent="0.2">
      <c r="A34" s="7" t="s">
        <v>82</v>
      </c>
      <c r="B34" s="86"/>
      <c r="C34" s="10" t="str">
        <f>IF(JanTotEquity&lt;=0,"",IF(JanIncome&lt;0,"",JanIncome/JanTotEquity))</f>
        <v/>
      </c>
      <c r="D34" s="10" t="str">
        <f>IF(FebTotEquity&lt;=0,"",IF(JanIncome+FebIncome &lt; 0,"",(JanIncome+FebIncome)/FebTotEquity))</f>
        <v/>
      </c>
      <c r="E34" s="10" t="str">
        <f>IF(MarTotEquity&lt;=0,"",IF(JanIncome+FebIncome+MarIncome&lt;0,"",(JanIncome+FebIncome+MarIncome)/MarTotEquity))</f>
        <v/>
      </c>
      <c r="F34" s="10" t="str">
        <f>IF(AprTotEquity&lt;=0,"",IF(JanIncome+FebIncome+MarIncome+AprIncome&lt;0,"",(JanIncome+FebIncome+MarIncome+AprIncome)/AprTotEquity))</f>
        <v/>
      </c>
      <c r="G34" s="10" t="str">
        <f>IF(MayTotEquity&lt;=0,"",IF(JanIncome+FebIncome+MarIncome+AprIncome+MayIncome&lt;0,"",(JanIncome+FebIncome+MarIncome+AprIncome+MayIncome)/MayTotEquity))</f>
        <v/>
      </c>
      <c r="H34" s="10" t="str">
        <f>IF(JunTotEquity&lt;=0,"",IF(JanIncome+FebIncome+MarIncome+AprIncome+MayIncome+JunIncome&lt;0,"",(JanIncome+FebIncome+MarIncome+AprIncome+MayIncome+JunIncome)/JunTotEquity))</f>
        <v/>
      </c>
      <c r="I34" s="10" t="str">
        <f>IF(JulTotEquity&lt;=0,"",IF(JanIncome+FebIncome+MarIncome+AprIncome+MayIncome+JunIncome+JulIncome&lt;0,"",(JanIncome+FebIncome+MarIncome+AprIncome+MayIncome+JunIncome+JulIncome)/JulTotEquity))</f>
        <v/>
      </c>
      <c r="J34" s="10" t="str">
        <f>IF(AugTotEquity&lt;=0,"",IF(JanIncome+FebIncome+MarIncome+AprIncome+MayIncome+JunIncome+JulIncome+AugIncome&lt;0,"",(JanIncome+FebIncome+MarIncome+AprIncome+MayIncome+JunIncome+JulIncome+AugIncome)/AugTotEquity))</f>
        <v/>
      </c>
      <c r="K34" s="10" t="str">
        <f>IF(SepTotEquity&lt;=0,"",IF(JanIncome+FebIncome+MarIncome+AprIncome+MayIncome+JunIncome+JulIncome+AugIncome+SepIncome&lt;0,"",(JanIncome+FebIncome+MarIncome+AprIncome+MayIncome+JunIncome+JulIncome+AugIncome+SepIncome)/SepTotEquity))</f>
        <v/>
      </c>
      <c r="L34" s="10" t="str">
        <f>IF(OctTotEquity&lt;=0,"",IF(JanIncome+FebIncome+MarIncome+AprIncome+MayIncome+JunIncome+JulIncome+AugIncome+SepIncome+OctIncome&lt;0,"",(JanIncome+FebIncome+MarIncome+AprIncome+MayIncome+JunIncome+JulIncome+AugIncome+SepIncome+OctIncome)/OctTotEquity))</f>
        <v/>
      </c>
      <c r="M34" s="10" t="str">
        <f>IF(NovTotEquity&lt;=0,"",IF(JanIncome+FebIncome+MarIncome+AprIncome+MayIncome+JunIncome+JulIncome+AugIncome+SepIncome+OctIncome+NovIncome&lt;0,"",(JanIncome+FebIncome+MarIncome+AprIncome+MayIncome+JunIncome+JulIncome+AugIncome+SepIncome+OctIncome+NovIncome)/NovTotEquity))</f>
        <v/>
      </c>
      <c r="N34" s="10" t="str">
        <f>IF(DecTotEquity&lt;=0,"",IF(JanIncome+FebIncome+MarIncome+AprIncome+MayIncome+JunIncome+JulIncome+AugIncome+SepIncome+OctIncome+NovIncome+DecIncome&lt;0,"",(JanIncome+FebIncome+MarIncome+AprIncome+MayIncome+JunIncome+JulIncome+AugIncome+SepIncome+OctIncome+NovIncome+DecIncome)/DecTotEquity))</f>
        <v/>
      </c>
      <c r="O34" s="5"/>
    </row>
    <row r="35" spans="1:17" x14ac:dyDescent="0.2">
      <c r="A35" s="7" t="s">
        <v>83</v>
      </c>
      <c r="B35" s="86"/>
      <c r="C35" s="10" t="str">
        <f>IF(C14&lt;=0,"",IF(JanIncome&lt;0,"",JanIncome/C14))</f>
        <v/>
      </c>
      <c r="D35" s="10" t="str">
        <f>IF(D14=0,"",IF(JanIncome+FebIncome&lt;0,"",(JanIncome+FebIncome)/D14))</f>
        <v/>
      </c>
      <c r="E35" s="10" t="str">
        <f>IF(E14=0,"",IF(JanIncome+FebIncome+MarIncome&lt;0,"",(JanIncome+FebIncome+MarIncome)/E14))</f>
        <v/>
      </c>
      <c r="F35" s="10" t="str">
        <f>IF(F14=0,"",IF(JanIncome+FebIncome+MarIncome+AprIncome&lt;0,"",(JanIncome+FebIncome+MarIncome+AprIncome)/F14))</f>
        <v/>
      </c>
      <c r="G35" s="10" t="str">
        <f>IF(G14=0,"",IF(JanIncome+FebIncome+MarIncome+AprIncome+MayIncome&lt;0,"",(JanIncome+FebIncome+MarIncome+AprIncome+MayIncome)/G14))</f>
        <v/>
      </c>
      <c r="H35" s="10" t="str">
        <f>IF(H14=0,"",IF(JanIncome+FebIncome+MarIncome+AprIncome+MayIncome+JunIncome&lt;0,"",(JanIncome+FebIncome+MarIncome+AprIncome+MayIncome+JunIncome)/H14))</f>
        <v/>
      </c>
      <c r="I35" s="10" t="str">
        <f>IF(I14=0,"",IF(JanIncome+FebIncome+MarIncome+AprIncome+MayIncome+JunIncome+JulIncome&lt;0,"",(JanIncome+FebIncome+MarIncome+AprIncome+MayIncome+JunIncome+JulIncome)/I14))</f>
        <v/>
      </c>
      <c r="J35" s="10" t="str">
        <f>IF(J14=0,"",IF(JanIncome+FebIncome+MarIncome+AprIncome+MayIncome+JunIncome+JulIncome+AugIncome&lt;0,"",(JanIncome+FebIncome+MarIncome+AprIncome+MayIncome+JunIncome+JulIncome+AugIncome)/J14))</f>
        <v/>
      </c>
      <c r="K35" s="10" t="str">
        <f>IF(K14=0,"",IF(JanIncome+FebIncome+MarIncome+AprIncome+MayIncome+JunIncome+JulIncome+AugIncome+SepIncome&lt;0,"",(JanIncome+FebIncome+MarIncome+AprIncome+MayIncome+JunIncome+JulIncome+AugIncome+SepIncome)/K14))</f>
        <v/>
      </c>
      <c r="L35" s="10" t="str">
        <f>IF(L14=0,"",IF(JanIncome+FebIncome+MarIncome+AprIncome+MayIncome+JunIncome+JulIncome+AugIncome+SepIncome+OctIncome&lt;0,"",(JanIncome+FebIncome+MarIncome+AprIncome+MayIncome+JunIncome+JulIncome+AugIncome+SepIncome+OctIncome)/L14))</f>
        <v/>
      </c>
      <c r="M35" s="10" t="str">
        <f>IF(M14=0,"",IF(JanIncome+FebIncome+MarIncome+AprIncome+MayIncome+JunIncome+JulIncome+AugIncome+SepIncome+OctIncome+NovIncome&lt;0,"",(JanIncome+FebIncome+MarIncome+AprIncome+MayIncome+JunIncome+JulIncome+AugIncome+SepIncome+OctIncome+NovIncome)/M14))</f>
        <v/>
      </c>
      <c r="N35" s="10" t="str">
        <f>IF(N14=0,"",IF(JanIncome+FebIncome+MarIncome+AprIncome+MayIncome+JunIncome+JulIncome+AugIncome+SepIncome+OctIncome+NovIncome+DecIncome&lt;0,"",(JanIncome+FebIncome+MarIncome+AprIncome+MayIncome+JunIncome+JulIncome+AugIncome+SepIncome+OctIncome+NovIncome+DecIncome)/N14))</f>
        <v/>
      </c>
      <c r="O35" s="5"/>
    </row>
    <row r="36" spans="1:17" x14ac:dyDescent="0.2">
      <c r="A36" s="7" t="s">
        <v>56</v>
      </c>
      <c r="B36" s="86"/>
      <c r="C36" s="25" t="str">
        <f>IF(C21&lt;=0,"",ROUND(C11/C21*10,0)/10)</f>
        <v/>
      </c>
      <c r="D36" s="25" t="str">
        <f t="shared" ref="D36:N36" si="9">IF(D21&lt;=0,"",ROUND(D11/D21*10,0)/10)</f>
        <v/>
      </c>
      <c r="E36" s="25" t="str">
        <f t="shared" si="9"/>
        <v/>
      </c>
      <c r="F36" s="25" t="str">
        <f t="shared" si="9"/>
        <v/>
      </c>
      <c r="G36" s="25" t="str">
        <f t="shared" si="9"/>
        <v/>
      </c>
      <c r="H36" s="25" t="str">
        <f t="shared" si="9"/>
        <v/>
      </c>
      <c r="I36" s="25" t="str">
        <f t="shared" si="9"/>
        <v/>
      </c>
      <c r="J36" s="25" t="str">
        <f t="shared" si="9"/>
        <v/>
      </c>
      <c r="K36" s="25" t="str">
        <f t="shared" si="9"/>
        <v/>
      </c>
      <c r="L36" s="25" t="str">
        <f t="shared" si="9"/>
        <v/>
      </c>
      <c r="M36" s="25" t="str">
        <f t="shared" si="9"/>
        <v/>
      </c>
      <c r="N36" s="25" t="str">
        <f t="shared" si="9"/>
        <v/>
      </c>
      <c r="O36" s="114">
        <v>2</v>
      </c>
    </row>
    <row r="37" spans="1:17" x14ac:dyDescent="0.2">
      <c r="A37" s="7" t="s">
        <v>57</v>
      </c>
      <c r="B37" s="86"/>
      <c r="C37" s="25" t="str">
        <f>IF(C21&lt;=0,"",ROUND((C8+C9)*10/C21,0)/10&amp;"x1")</f>
        <v/>
      </c>
      <c r="D37" s="25" t="str">
        <f t="shared" ref="D37:N37" si="10">IF(D21&lt;=0,"",ROUND((D8+D9)*10/D21,0)/10&amp;"x1")</f>
        <v/>
      </c>
      <c r="E37" s="25" t="str">
        <f t="shared" si="10"/>
        <v/>
      </c>
      <c r="F37" s="25" t="str">
        <f t="shared" si="10"/>
        <v/>
      </c>
      <c r="G37" s="25" t="str">
        <f t="shared" si="10"/>
        <v/>
      </c>
      <c r="H37" s="25" t="str">
        <f t="shared" si="10"/>
        <v/>
      </c>
      <c r="I37" s="25" t="str">
        <f t="shared" si="10"/>
        <v/>
      </c>
      <c r="J37" s="25" t="str">
        <f t="shared" si="10"/>
        <v/>
      </c>
      <c r="K37" s="25" t="str">
        <f t="shared" si="10"/>
        <v/>
      </c>
      <c r="L37" s="25" t="str">
        <f t="shared" si="10"/>
        <v/>
      </c>
      <c r="M37" s="25" t="str">
        <f t="shared" si="10"/>
        <v/>
      </c>
      <c r="N37" s="25" t="str">
        <f t="shared" si="10"/>
        <v/>
      </c>
      <c r="O37" s="115" t="s">
        <v>62</v>
      </c>
    </row>
    <row r="38" spans="1:17" x14ac:dyDescent="0.2">
      <c r="A38" s="7" t="s">
        <v>58</v>
      </c>
      <c r="B38" s="86"/>
      <c r="C38" s="25" t="str">
        <f>IF(C26&lt;=0,"",ROUND((C21+C22)*10/C26,0)/10&amp;"x1")</f>
        <v/>
      </c>
      <c r="D38" s="25" t="str">
        <f t="shared" ref="D38:N38" si="11">IF(D26&lt;=0,"",ROUND((D21+D22)*10/D26,0)/10&amp;"x1")</f>
        <v/>
      </c>
      <c r="E38" s="25" t="str">
        <f t="shared" si="11"/>
        <v/>
      </c>
      <c r="F38" s="25" t="str">
        <f t="shared" si="11"/>
        <v/>
      </c>
      <c r="G38" s="25" t="str">
        <f t="shared" si="11"/>
        <v/>
      </c>
      <c r="H38" s="25" t="str">
        <f t="shared" si="11"/>
        <v/>
      </c>
      <c r="I38" s="25" t="str">
        <f t="shared" si="11"/>
        <v/>
      </c>
      <c r="J38" s="25" t="str">
        <f t="shared" si="11"/>
        <v/>
      </c>
      <c r="K38" s="25" t="str">
        <f t="shared" si="11"/>
        <v/>
      </c>
      <c r="L38" s="25" t="str">
        <f t="shared" si="11"/>
        <v/>
      </c>
      <c r="M38" s="25" t="str">
        <f t="shared" si="11"/>
        <v/>
      </c>
      <c r="N38" s="25" t="str">
        <f t="shared" si="11"/>
        <v/>
      </c>
      <c r="O38" s="115" t="s">
        <v>63</v>
      </c>
    </row>
    <row r="39" spans="1:17" x14ac:dyDescent="0.2">
      <c r="A39" s="23" t="s">
        <v>64</v>
      </c>
      <c r="B39" s="87"/>
      <c r="C39" s="7" t="str">
        <f>IF(C9=0,"",ROUND(JanNet*10/C9,0)/10&amp;" turns")</f>
        <v/>
      </c>
      <c r="D39" s="7" t="str">
        <f>IF(D9=0,"",ROUND((JanNet+FebNet)*10/D9,0)/10&amp;" turns")</f>
        <v/>
      </c>
      <c r="E39" s="7" t="str">
        <f>IF(E9=0,"",ROUND((JanNet+FebNet+MarNet)*10/E9,0)/10&amp;" turns")</f>
        <v/>
      </c>
      <c r="F39" s="7" t="str">
        <f>IF(F9=0,"",ROUND((JanNet+FebNet+MarNet+AprNet)*10/F9,0)/10&amp;" turns")</f>
        <v/>
      </c>
      <c r="G39" s="7" t="str">
        <f>IF(G9=0,"",ROUND((JanNet+FebNet+MarNet+AprNet+MayNet)*10/G9,0)/10&amp;" turns")</f>
        <v/>
      </c>
      <c r="H39" s="7" t="str">
        <f>IF(H9=0,"",ROUND((JanNet+FebNet+MarNet+AprNet+MayNet+JunNet)*10/H9,0)/10&amp;" turns")</f>
        <v/>
      </c>
      <c r="I39" s="7" t="str">
        <f>IF(I9=0,"",ROUND((JanNet+FebNet+MarNet+AprNet+MayNet+JunNet+JulNet)*10/I9,0)/10&amp;" turns")</f>
        <v/>
      </c>
      <c r="J39" s="7" t="str">
        <f>IF(J9=0,"",ROUND((JanNet+FebNet+MarNet+AprNet+MayNet+JunNet+JulNet+AugNet)*10/J9,0)/10&amp;" turns")</f>
        <v/>
      </c>
      <c r="K39" s="7" t="str">
        <f>IF(K9=0,"",ROUND((JanNet+FebNet+MarNet+AprNet+MayNet+JunNet+JulNet+AugNet+SepNet)*10/K9,0)/10&amp;" turns")</f>
        <v/>
      </c>
      <c r="L39" s="7" t="str">
        <f>IF(L9=0,"",ROUND((JanNet+FebNet+MarNet+AprNet+MayNet+JunNet+JulNet+AugNet+SepNet+OctNet)*10/L9,0)/10&amp;" turns")</f>
        <v/>
      </c>
      <c r="M39" s="7" t="str">
        <f>IF(M9=0,"",ROUND((JanNet+FebNet+MarNet+AprNet+MayNet+JunNet+JulNet+AugNet+SepNet+OctNet+NovNet)*10/M9,0)/10&amp;" turns")</f>
        <v/>
      </c>
      <c r="N39" s="7" t="str">
        <f>IF(N9=0,"",ROUND((JanNet+FebNet+MarNet+AprNet+MayNet+JunNet+JulNet+AugNet+SepNet+OctNet+NovNet+DecNet)*10/N9,0)/10&amp;" turns")</f>
        <v/>
      </c>
      <c r="O39" s="115" t="s">
        <v>66</v>
      </c>
    </row>
    <row r="40" spans="1:17" x14ac:dyDescent="0.2">
      <c r="A40" s="23" t="s">
        <v>65</v>
      </c>
      <c r="B40" s="87"/>
      <c r="C40" s="25" t="str">
        <f>IF(B10&lt;=0,"",ROUND((JanCOGS)*10/B10,0)/10&amp;"-1")</f>
        <v/>
      </c>
      <c r="D40" s="25" t="str">
        <f>IF(C10&lt;=0,"",ROUND((JanCOGS+FebCOGS)*10/C10,0)/10&amp;"x1")</f>
        <v/>
      </c>
      <c r="E40" s="25" t="str">
        <f>IF(D10&lt;=0,"",ROUND((JanCOGS+FebCOGS+MarCOGS)*10/D10,0)/10&amp;"-1")</f>
        <v/>
      </c>
      <c r="F40" s="25" t="str">
        <f>IF(E10&lt;=0,"",ROUND((JanCOGS+FebCOGS+MarCOGS+AprCOGS)*10/E10,0)/10&amp;"-1")</f>
        <v/>
      </c>
      <c r="G40" s="25" t="str">
        <f>IF(F10&lt;=0,"",ROUND((JanCOGS+FebCOGS+MarCOGS+AprCOGS+MayCOGS)*10/F10,0)/10&amp;"-1")</f>
        <v/>
      </c>
      <c r="H40" s="25" t="str">
        <f>IF(G10&lt;=0,"",ROUND((JanCOGS+FebCOGS+MarCOGS+AprCOGS+MayCOGS+JunCOGS)*10/G10,0)/10&amp;"-1")</f>
        <v/>
      </c>
      <c r="I40" s="25" t="str">
        <f>IF(H10&lt;=0,"",ROUND((JanCOGS+FebCOGS+MarCOGS+AprCOGS+MayCOGS+JunCOGS+JulCOGS)*10/H10,0)/10&amp;"-1")</f>
        <v/>
      </c>
      <c r="J40" s="25" t="str">
        <f>IF(I10&lt;=0,"",ROUND((JanCOGS+FebCOGS+MarCOGS+AprCOGS+MayCOGS+JunCOGS+JulCOGS+AugCOGS)*10/I10,0)/10&amp;"-1")</f>
        <v/>
      </c>
      <c r="K40" s="25" t="str">
        <f>IF(J10&lt;=0,"",ROUND((JanCOGS+FebCOGS+MarCOGS+AprCOGS+MayCOGS+JunCOGS+JulCOGS+AugCOGS+SepCOGS)*10/J10,0)/10&amp;"-1")</f>
        <v/>
      </c>
      <c r="L40" s="25" t="str">
        <f>IF(K10&lt;=0,"",ROUND((JanCOGS+FebCOGS+MarCOGS+AprCOGS+MayCOGS+JunCOGS+JulCOGS+AugCOGS+SepCOGS+OctCOGS)*10/K10,0)/10&amp;"-1")</f>
        <v/>
      </c>
      <c r="M40" s="25" t="str">
        <f>IF(L10&lt;=0,"",ROUND((JanCOGS+FebCOGS+MarCOGS+AprCOGS+MayCOGS+JunCOGS+JulCOGS+AugCOGS+SepCOGS+OctCOGS+NovCOGS)*10/L10,0)/10&amp;"-1")</f>
        <v/>
      </c>
      <c r="N40" s="25" t="str">
        <f>IF(M10&lt;=0,"",ROUND((JanCOGS+FebCOGS+MarCOGS+AprCOGS+MayCOGS+JunCOGS+JulCOGS+AugCOGS+SepCOGS+OctCOGS+NovCOGS+DecCOGS)*10/M10,0)/10&amp;"-1")</f>
        <v/>
      </c>
      <c r="O40" s="115" t="s">
        <v>67</v>
      </c>
    </row>
  </sheetData>
  <mergeCells count="4">
    <mergeCell ref="A2:N2"/>
    <mergeCell ref="A3:N3"/>
    <mergeCell ref="A32:O32"/>
    <mergeCell ref="A1:N1"/>
  </mergeCells>
  <phoneticPr fontId="2" type="noConversion"/>
  <dataValidations count="5">
    <dataValidation allowBlank="1" showInputMessage="1" showErrorMessage="1" prompt="A high RETURN ON INVESTMENT is associated with efficient management performance or an undercapitalized firm.  A low return is an indicator of inefficient management performance or a highly capitalized company with conservative operational methods." sqref="O34"/>
    <dataValidation allowBlank="1" showInputMessage="1" showErrorMessage="1" prompt="The RETURN ON ASSETS measures the ability to generate sales in relation to total assets.  It is used to compare how the firm is using its assets to create sales and is used to compare a company's performance to other companies in the same industry." sqref="O35"/>
    <dataValidation allowBlank="1" showInputMessage="1" showErrorMessage="1" prompt="The CURRENT RATIO is an indication of the company's ability to pay its current debt.  The higher ratio indicates a margin of safety to service short term (current) debt (cash, accounts receivable and inventory)." sqref="O36"/>
    <dataValidation allowBlank="1" showInputMessage="1" showErrorMessage="1" prompt="The QUICK RATIO is a conservative measure of the company's ability to pay current debt.  Often referred to as a company's liquidity available to pay current debt  with cash + accounts receivable." sqref="O37"/>
    <dataValidation allowBlank="1" showInputMessage="1" showErrorMessage="1" prompt="The DEBT/WORTH RATIO measures the relationship between total debt and owner equity.  The higher the ratio, the higher the risk to creditors.  A low ratio may indicate the ability to acquire additional debt to purchase assets and support sales growth." sqref="O38"/>
  </dataValidations>
  <pageMargins left="0.75" right="0.75" top="1" bottom="1" header="0.5" footer="0.5"/>
  <pageSetup scale="83" orientation="landscape"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sqref="A1:N1"/>
    </sheetView>
  </sheetViews>
  <sheetFormatPr defaultRowHeight="12.75" x14ac:dyDescent="0.2"/>
  <sheetData>
    <row r="1" spans="1:14" ht="99.95" customHeight="1" x14ac:dyDescent="0.2">
      <c r="A1" s="212"/>
      <c r="B1" s="212"/>
      <c r="C1" s="212"/>
      <c r="D1" s="212"/>
      <c r="E1" s="212"/>
      <c r="F1" s="212"/>
      <c r="G1" s="212"/>
      <c r="H1" s="212"/>
      <c r="I1" s="212"/>
      <c r="J1" s="212"/>
      <c r="K1" s="212"/>
      <c r="L1" s="212"/>
      <c r="M1" s="212"/>
      <c r="N1" s="212"/>
    </row>
    <row r="22" spans="9:10" x14ac:dyDescent="0.2">
      <c r="I22" t="str">
        <f>Line1Name</f>
        <v>Product #1</v>
      </c>
      <c r="J22">
        <f>'Income Statement'!N9</f>
        <v>0</v>
      </c>
    </row>
    <row r="23" spans="9:10" x14ac:dyDescent="0.2">
      <c r="I23" t="str">
        <f>Line2Name</f>
        <v>Product #2</v>
      </c>
      <c r="J23">
        <f>'Income Statement'!N14</f>
        <v>0</v>
      </c>
    </row>
    <row r="24" spans="9:10" x14ac:dyDescent="0.2">
      <c r="I24" t="str">
        <f>Line3Name</f>
        <v>Product #3</v>
      </c>
      <c r="J24">
        <f>'Income Statement'!N19</f>
        <v>0</v>
      </c>
    </row>
    <row r="25" spans="9:10" x14ac:dyDescent="0.2">
      <c r="I25" t="str">
        <f>Line4Name</f>
        <v>Product #4</v>
      </c>
      <c r="J25">
        <f>'Income Statement'!N24</f>
        <v>0</v>
      </c>
    </row>
    <row r="26" spans="9:10" x14ac:dyDescent="0.2">
      <c r="I26" t="str">
        <f>Line5Name</f>
        <v>Product #5</v>
      </c>
      <c r="J26">
        <f>'Income Statement'!N29</f>
        <v>0</v>
      </c>
    </row>
    <row r="38" spans="1:1" x14ac:dyDescent="0.2">
      <c r="A38" s="6"/>
    </row>
  </sheetData>
  <sheetProtection selectLockedCells="1"/>
  <mergeCells count="1">
    <mergeCell ref="A1:N1"/>
  </mergeCells>
  <phoneticPr fontId="2" type="noConversion"/>
  <pageMargins left="0.75" right="0.75" top="1" bottom="1" header="0.5" footer="0.5"/>
  <pageSetup orientation="landscape"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P16" sqref="P16"/>
    </sheetView>
  </sheetViews>
  <sheetFormatPr defaultRowHeight="12.75" x14ac:dyDescent="0.2"/>
  <sheetData>
    <row r="1" spans="1:9" ht="99.95" customHeight="1" x14ac:dyDescent="0.2">
      <c r="A1" s="212"/>
      <c r="B1" s="212"/>
      <c r="C1" s="212"/>
      <c r="D1" s="212"/>
      <c r="E1" s="212"/>
      <c r="F1" s="212"/>
      <c r="G1" s="212"/>
      <c r="H1" s="212"/>
      <c r="I1" s="212"/>
    </row>
    <row r="2" spans="1:9" ht="18" x14ac:dyDescent="0.25">
      <c r="A2" s="215" t="s">
        <v>69</v>
      </c>
      <c r="B2" s="215"/>
      <c r="C2" s="215"/>
      <c r="D2" s="215"/>
      <c r="E2" s="215"/>
      <c r="F2" s="216"/>
      <c r="G2" s="216"/>
      <c r="H2" s="216"/>
      <c r="I2" s="216"/>
    </row>
    <row r="3" spans="1:9" x14ac:dyDescent="0.2">
      <c r="A3" s="212"/>
      <c r="B3" s="212"/>
      <c r="C3" s="212"/>
      <c r="D3" s="212"/>
      <c r="E3" s="212"/>
      <c r="F3" s="212"/>
      <c r="G3" s="212"/>
      <c r="H3" s="212"/>
      <c r="I3" s="212"/>
    </row>
    <row r="4" spans="1:9" ht="37.5" customHeight="1" x14ac:dyDescent="0.2">
      <c r="A4" s="213" t="s">
        <v>264</v>
      </c>
      <c r="B4" s="214"/>
      <c r="C4" s="214"/>
      <c r="D4" s="214"/>
      <c r="E4" s="214"/>
      <c r="F4" s="214"/>
      <c r="G4" s="214"/>
      <c r="H4" s="214"/>
      <c r="I4" s="214"/>
    </row>
    <row r="5" spans="1:9" x14ac:dyDescent="0.2">
      <c r="A5" s="212"/>
      <c r="B5" s="212"/>
      <c r="C5" s="212"/>
      <c r="D5" s="212"/>
      <c r="E5" s="212"/>
      <c r="F5" s="212"/>
      <c r="G5" s="212"/>
      <c r="H5" s="212"/>
      <c r="I5" s="212"/>
    </row>
    <row r="6" spans="1:9" ht="25.5" customHeight="1" x14ac:dyDescent="0.2">
      <c r="A6" s="213" t="s">
        <v>71</v>
      </c>
      <c r="B6" s="214"/>
      <c r="C6" s="214"/>
      <c r="D6" s="214"/>
      <c r="E6" s="214"/>
      <c r="F6" s="214"/>
      <c r="G6" s="214"/>
      <c r="H6" s="214"/>
      <c r="I6" s="214"/>
    </row>
    <row r="7" spans="1:9" x14ac:dyDescent="0.2">
      <c r="A7" s="212"/>
      <c r="B7" s="212"/>
      <c r="C7" s="212"/>
      <c r="D7" s="212"/>
      <c r="E7" s="212"/>
      <c r="F7" s="212"/>
      <c r="G7" s="212"/>
      <c r="H7" s="212"/>
      <c r="I7" s="212"/>
    </row>
    <row r="8" spans="1:9" ht="36.75" customHeight="1" x14ac:dyDescent="0.2">
      <c r="A8" s="213" t="s">
        <v>72</v>
      </c>
      <c r="B8" s="214"/>
      <c r="C8" s="214"/>
      <c r="D8" s="214"/>
      <c r="E8" s="214"/>
      <c r="F8" s="214"/>
      <c r="G8" s="214"/>
      <c r="H8" s="214"/>
      <c r="I8" s="214"/>
    </row>
    <row r="9" spans="1:9" x14ac:dyDescent="0.2">
      <c r="A9" s="212"/>
      <c r="B9" s="212"/>
      <c r="C9" s="212"/>
      <c r="D9" s="212"/>
      <c r="E9" s="212"/>
      <c r="F9" s="212"/>
      <c r="G9" s="212"/>
      <c r="H9" s="212"/>
      <c r="I9" s="212"/>
    </row>
    <row r="10" spans="1:9" ht="25.5" customHeight="1" x14ac:dyDescent="0.2">
      <c r="A10" s="213" t="s">
        <v>73</v>
      </c>
      <c r="B10" s="214"/>
      <c r="C10" s="214"/>
      <c r="D10" s="214"/>
      <c r="E10" s="214"/>
      <c r="F10" s="214"/>
      <c r="G10" s="214"/>
      <c r="H10" s="214"/>
      <c r="I10" s="214"/>
    </row>
    <row r="11" spans="1:9" x14ac:dyDescent="0.2">
      <c r="A11" s="212"/>
      <c r="B11" s="212"/>
      <c r="C11" s="212"/>
      <c r="D11" s="212"/>
      <c r="E11" s="212"/>
      <c r="F11" s="212"/>
      <c r="G11" s="212"/>
      <c r="H11" s="212"/>
      <c r="I11" s="212"/>
    </row>
    <row r="12" spans="1:9" ht="66.75" customHeight="1" x14ac:dyDescent="0.2">
      <c r="A12" s="213" t="s">
        <v>235</v>
      </c>
      <c r="B12" s="214"/>
      <c r="C12" s="214"/>
      <c r="D12" s="214"/>
      <c r="E12" s="214"/>
      <c r="F12" s="214"/>
      <c r="G12" s="214"/>
      <c r="H12" s="214"/>
      <c r="I12" s="214"/>
    </row>
    <row r="13" spans="1:9" x14ac:dyDescent="0.2">
      <c r="A13" s="212"/>
      <c r="B13" s="212"/>
      <c r="C13" s="212"/>
      <c r="D13" s="212"/>
      <c r="E13" s="212"/>
      <c r="F13" s="212"/>
      <c r="G13" s="212"/>
      <c r="H13" s="212"/>
      <c r="I13" s="212"/>
    </row>
    <row r="14" spans="1:9" ht="51" customHeight="1" x14ac:dyDescent="0.2">
      <c r="A14" s="213" t="s">
        <v>236</v>
      </c>
      <c r="B14" s="214"/>
      <c r="C14" s="214"/>
      <c r="D14" s="214"/>
      <c r="E14" s="214"/>
      <c r="F14" s="214"/>
      <c r="G14" s="214"/>
      <c r="H14" s="214"/>
      <c r="I14" s="214"/>
    </row>
    <row r="15" spans="1:9" x14ac:dyDescent="0.2">
      <c r="A15" s="212"/>
      <c r="B15" s="212"/>
      <c r="C15" s="212"/>
      <c r="D15" s="212"/>
      <c r="E15" s="212"/>
      <c r="F15" s="212"/>
      <c r="G15" s="212"/>
      <c r="H15" s="212"/>
      <c r="I15" s="212"/>
    </row>
    <row r="16" spans="1:9" ht="50.25" customHeight="1" x14ac:dyDescent="0.2">
      <c r="A16" s="213" t="s">
        <v>237</v>
      </c>
      <c r="B16" s="214"/>
      <c r="C16" s="214"/>
      <c r="D16" s="214"/>
      <c r="E16" s="214"/>
      <c r="F16" s="214"/>
      <c r="G16" s="214"/>
      <c r="H16" s="214"/>
      <c r="I16" s="214"/>
    </row>
    <row r="17" spans="1:9" x14ac:dyDescent="0.2">
      <c r="A17" s="212"/>
      <c r="B17" s="212"/>
      <c r="C17" s="212"/>
      <c r="D17" s="212"/>
      <c r="E17" s="212"/>
      <c r="F17" s="212"/>
      <c r="G17" s="212"/>
      <c r="H17" s="212"/>
      <c r="I17" s="212"/>
    </row>
    <row r="18" spans="1:9" ht="37.5" customHeight="1" x14ac:dyDescent="0.2">
      <c r="A18" s="213" t="s">
        <v>238</v>
      </c>
      <c r="B18" s="214"/>
      <c r="C18" s="214"/>
      <c r="D18" s="214"/>
      <c r="E18" s="214"/>
      <c r="F18" s="214"/>
      <c r="G18" s="214"/>
      <c r="H18" s="214"/>
      <c r="I18" s="214"/>
    </row>
    <row r="21" spans="1:9" x14ac:dyDescent="0.2">
      <c r="A21" s="6"/>
    </row>
  </sheetData>
  <sheetProtection algorithmName="SHA-512" hashValue="AN+TIHMmyqADbaPUPwzvTeM4BYDC3DwDhsL/cEWmHbq8I6zG2zEuN+hI1+OgZe7OjXxiY6c/lZ1n2X8o9ZBX3Q==" saltValue="OPoZgxV2YNJIXeCsYow41g==" spinCount="100000" sheet="1" objects="1" scenarios="1"/>
  <mergeCells count="18">
    <mergeCell ref="A1:I1"/>
    <mergeCell ref="A3:I3"/>
    <mergeCell ref="A5:I5"/>
    <mergeCell ref="A9:I9"/>
    <mergeCell ref="A7:I7"/>
    <mergeCell ref="A16:I16"/>
    <mergeCell ref="A18:I18"/>
    <mergeCell ref="A8:I8"/>
    <mergeCell ref="A10:I10"/>
    <mergeCell ref="A2:I2"/>
    <mergeCell ref="A4:I4"/>
    <mergeCell ref="A6:I6"/>
    <mergeCell ref="A12:I12"/>
    <mergeCell ref="A14:I14"/>
    <mergeCell ref="A11:I11"/>
    <mergeCell ref="A13:I13"/>
    <mergeCell ref="A15:I15"/>
    <mergeCell ref="A17:I17"/>
  </mergeCells>
  <phoneticPr fontId="2" type="noConversion"/>
  <pageMargins left="0.75" right="0.75" top="1" bottom="1" header="0.5" footer="0.5"/>
  <pageSetup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2"/>
  <sheetViews>
    <sheetView workbookViewId="0">
      <selection activeCell="B5" sqref="B5"/>
    </sheetView>
  </sheetViews>
  <sheetFormatPr defaultRowHeight="12.75" x14ac:dyDescent="0.2"/>
  <cols>
    <col min="1" max="1" width="37.5703125" bestFit="1" customWidth="1"/>
    <col min="2" max="2" width="9.7109375" customWidth="1"/>
    <col min="3" max="5" width="9.7109375" style="60" customWidth="1"/>
    <col min="6" max="6" width="15.7109375" style="60" hidden="1" customWidth="1"/>
    <col min="7" max="7" width="9.7109375" style="60" customWidth="1"/>
    <col min="8" max="20" width="9.140625" style="60"/>
  </cols>
  <sheetData>
    <row r="1" spans="1:20" ht="99.95" customHeight="1" x14ac:dyDescent="0.2">
      <c r="A1" s="191"/>
      <c r="B1" s="191"/>
      <c r="C1" s="191"/>
      <c r="D1" s="191"/>
      <c r="E1" s="191"/>
      <c r="F1" s="191"/>
      <c r="G1" s="191"/>
    </row>
    <row r="2" spans="1:20" s="57" customFormat="1" ht="18" x14ac:dyDescent="0.25">
      <c r="A2" s="188" t="s">
        <v>119</v>
      </c>
      <c r="B2" s="188"/>
      <c r="C2" s="189"/>
      <c r="D2" s="189"/>
      <c r="E2" s="189"/>
      <c r="F2" s="189"/>
      <c r="G2" s="189"/>
      <c r="H2" s="55"/>
      <c r="I2" s="55"/>
      <c r="J2" s="55"/>
      <c r="K2" s="55"/>
      <c r="L2" s="55"/>
      <c r="M2" s="55"/>
      <c r="N2" s="56"/>
      <c r="O2" s="56"/>
      <c r="P2" s="56"/>
      <c r="Q2" s="56"/>
      <c r="R2" s="56"/>
      <c r="S2" s="56"/>
      <c r="T2" s="56"/>
    </row>
    <row r="3" spans="1:20" s="57" customFormat="1" ht="18" x14ac:dyDescent="0.25">
      <c r="A3" s="188" t="str">
        <f>CompanyHeader</f>
        <v>Your Company Name Here (2020 - 2021)</v>
      </c>
      <c r="B3" s="190"/>
      <c r="C3" s="190"/>
      <c r="D3" s="190"/>
      <c r="E3" s="190"/>
      <c r="F3" s="190"/>
      <c r="G3" s="190"/>
      <c r="H3" s="56"/>
      <c r="I3" s="56"/>
      <c r="J3" s="56"/>
      <c r="K3" s="56"/>
      <c r="L3" s="56"/>
      <c r="M3" s="56"/>
      <c r="N3" s="56"/>
      <c r="O3" s="56"/>
      <c r="P3" s="56"/>
      <c r="Q3" s="56"/>
      <c r="R3" s="56"/>
      <c r="S3" s="56"/>
      <c r="T3" s="56"/>
    </row>
    <row r="4" spans="1:20" s="46" customFormat="1" x14ac:dyDescent="0.2">
      <c r="A4" s="58"/>
      <c r="B4" s="58"/>
      <c r="C4" s="58"/>
      <c r="D4" s="58"/>
      <c r="E4" s="58"/>
      <c r="F4" s="58"/>
      <c r="G4" s="58"/>
      <c r="H4" s="59"/>
      <c r="I4" s="59"/>
      <c r="J4" s="59"/>
      <c r="K4" s="59"/>
      <c r="L4" s="59"/>
      <c r="M4" s="59"/>
      <c r="N4" s="59"/>
      <c r="O4" s="59"/>
      <c r="P4" s="59"/>
      <c r="Q4" s="59"/>
      <c r="R4" s="59"/>
      <c r="S4" s="59"/>
      <c r="T4" s="59"/>
    </row>
    <row r="5" spans="1:20" x14ac:dyDescent="0.2">
      <c r="A5" s="62" t="s">
        <v>136</v>
      </c>
      <c r="B5" s="106">
        <v>0.8</v>
      </c>
      <c r="C5" s="1" t="s">
        <v>195</v>
      </c>
      <c r="D5" s="1"/>
      <c r="E5" s="1"/>
      <c r="F5" s="1"/>
      <c r="G5" s="1"/>
    </row>
    <row r="6" spans="1:20" x14ac:dyDescent="0.2">
      <c r="A6" s="62" t="s">
        <v>135</v>
      </c>
      <c r="B6" s="66">
        <f>1-B5</f>
        <v>0.19999999999999996</v>
      </c>
      <c r="C6" s="1" t="s">
        <v>196</v>
      </c>
      <c r="D6" s="1"/>
      <c r="E6" s="1"/>
      <c r="F6" s="1">
        <v>0</v>
      </c>
      <c r="G6" s="1"/>
    </row>
    <row r="7" spans="1:20" x14ac:dyDescent="0.2">
      <c r="A7" s="1"/>
      <c r="B7" s="1"/>
      <c r="C7" s="1"/>
      <c r="D7" s="1"/>
      <c r="E7" s="1"/>
      <c r="F7" s="1">
        <v>1</v>
      </c>
      <c r="G7" s="1"/>
      <c r="J7" s="67"/>
      <c r="K7" s="67"/>
      <c r="L7" s="67"/>
    </row>
    <row r="8" spans="1:20" x14ac:dyDescent="0.2">
      <c r="A8" s="62" t="s">
        <v>197</v>
      </c>
      <c r="B8" s="1"/>
      <c r="C8" s="1"/>
      <c r="D8" s="1"/>
      <c r="E8" s="1"/>
      <c r="F8" s="1">
        <v>2</v>
      </c>
      <c r="G8" s="1"/>
      <c r="I8" s="67"/>
      <c r="J8" s="67"/>
      <c r="K8" s="67"/>
    </row>
    <row r="9" spans="1:20" x14ac:dyDescent="0.2">
      <c r="A9" s="1" t="s">
        <v>137</v>
      </c>
      <c r="B9" s="106">
        <v>0.25</v>
      </c>
      <c r="C9" s="1" t="s">
        <v>213</v>
      </c>
      <c r="D9" s="1"/>
      <c r="E9" s="1"/>
      <c r="F9" s="104"/>
      <c r="G9" s="1"/>
    </row>
    <row r="10" spans="1:20" x14ac:dyDescent="0.2">
      <c r="A10" s="1" t="s">
        <v>138</v>
      </c>
      <c r="B10" s="106">
        <v>0.6</v>
      </c>
      <c r="C10" s="104" t="s">
        <v>214</v>
      </c>
      <c r="D10" s="1"/>
      <c r="E10" s="1"/>
      <c r="F10" s="1"/>
      <c r="G10" s="1"/>
      <c r="L10" s="67"/>
    </row>
    <row r="11" spans="1:20" x14ac:dyDescent="0.2">
      <c r="A11" s="1" t="s">
        <v>139</v>
      </c>
      <c r="B11" s="106">
        <v>0.15</v>
      </c>
      <c r="C11" s="1"/>
      <c r="D11" s="1"/>
      <c r="E11" s="1"/>
      <c r="F11" s="1"/>
      <c r="G11" s="1"/>
      <c r="H11" s="67"/>
      <c r="I11" s="67"/>
    </row>
    <row r="12" spans="1:20" x14ac:dyDescent="0.2">
      <c r="A12" s="1" t="s">
        <v>140</v>
      </c>
      <c r="B12" s="33">
        <f>1-SUM(B9:B11)</f>
        <v>0</v>
      </c>
      <c r="C12" s="1"/>
      <c r="D12" s="1"/>
      <c r="E12" s="1"/>
      <c r="F12" s="1"/>
      <c r="G12" s="1"/>
      <c r="H12" s="67"/>
    </row>
    <row r="13" spans="1:20" x14ac:dyDescent="0.2">
      <c r="A13" s="1"/>
      <c r="B13" s="33"/>
      <c r="C13" s="1"/>
      <c r="D13" s="1"/>
      <c r="E13" s="1"/>
      <c r="F13" s="1"/>
      <c r="G13" s="1"/>
      <c r="H13" s="67"/>
      <c r="I13" s="67"/>
    </row>
    <row r="14" spans="1:20" x14ac:dyDescent="0.2">
      <c r="A14" s="62" t="s">
        <v>142</v>
      </c>
      <c r="B14" s="106">
        <v>0.02</v>
      </c>
      <c r="C14" s="1"/>
      <c r="D14" s="1"/>
      <c r="E14" s="1"/>
      <c r="F14" s="1"/>
      <c r="G14" s="1"/>
      <c r="H14" s="67"/>
      <c r="I14" s="67"/>
    </row>
    <row r="15" spans="1:20" x14ac:dyDescent="0.2">
      <c r="A15" s="1"/>
      <c r="B15" s="37" t="str">
        <f>IF(SUM(B9:B12)&gt;1,"Please correct your four A/R entries to total 100% or less.","")</f>
        <v/>
      </c>
      <c r="C15" s="1"/>
      <c r="D15" s="1"/>
      <c r="E15" s="1"/>
      <c r="F15" s="1"/>
      <c r="G15" s="1"/>
      <c r="H15" s="67"/>
      <c r="I15" s="67"/>
    </row>
    <row r="16" spans="1:20" x14ac:dyDescent="0.2">
      <c r="A16" s="62" t="s">
        <v>198</v>
      </c>
      <c r="B16" s="107">
        <v>2</v>
      </c>
      <c r="C16" s="1" t="s">
        <v>199</v>
      </c>
      <c r="D16" s="1"/>
      <c r="E16" s="1"/>
      <c r="F16" s="1">
        <f>AP-Inventory</f>
        <v>-1</v>
      </c>
      <c r="G16" s="1"/>
    </row>
    <row r="17" spans="1:7" x14ac:dyDescent="0.2">
      <c r="A17" s="62" t="s">
        <v>200</v>
      </c>
      <c r="B17" s="107">
        <v>1</v>
      </c>
      <c r="C17" s="1" t="s">
        <v>201</v>
      </c>
      <c r="D17" s="1"/>
      <c r="E17" s="1"/>
      <c r="F17" s="1"/>
      <c r="G17" s="1"/>
    </row>
    <row r="18" spans="1:7" x14ac:dyDescent="0.2">
      <c r="A18" s="62" t="s">
        <v>141</v>
      </c>
      <c r="B18" s="106">
        <v>0.25</v>
      </c>
      <c r="C18" s="1"/>
      <c r="D18" s="1"/>
      <c r="E18" s="1"/>
      <c r="F18" s="1"/>
      <c r="G18" s="1"/>
    </row>
    <row r="19" spans="1:7" x14ac:dyDescent="0.2">
      <c r="A19" s="62" t="s">
        <v>98</v>
      </c>
      <c r="B19" s="106">
        <v>0.05</v>
      </c>
      <c r="C19" s="1"/>
      <c r="D19" s="1"/>
      <c r="E19" s="1"/>
      <c r="F19" s="1"/>
      <c r="G19" s="1"/>
    </row>
    <row r="20" spans="1:7" x14ac:dyDescent="0.2">
      <c r="A20" s="1"/>
      <c r="B20" s="1"/>
      <c r="C20" s="1"/>
      <c r="D20" s="1"/>
      <c r="E20" s="1"/>
      <c r="F20" s="7"/>
      <c r="G20" s="1"/>
    </row>
    <row r="21" spans="1:7" x14ac:dyDescent="0.2">
      <c r="A21" s="62" t="s">
        <v>212</v>
      </c>
      <c r="B21" s="1"/>
      <c r="C21" s="1" t="s">
        <v>202</v>
      </c>
      <c r="D21" s="1"/>
      <c r="E21" s="1"/>
      <c r="F21" s="7"/>
      <c r="G21" s="1"/>
    </row>
    <row r="22" spans="1:7" x14ac:dyDescent="0.2">
      <c r="A22" s="91" t="s">
        <v>102</v>
      </c>
      <c r="B22" s="4"/>
      <c r="C22" s="1" t="s">
        <v>215</v>
      </c>
      <c r="D22" s="1"/>
      <c r="E22" s="1"/>
      <c r="F22" s="7"/>
      <c r="G22" s="1"/>
    </row>
    <row r="23" spans="1:7" x14ac:dyDescent="0.2">
      <c r="A23" s="91" t="s">
        <v>203</v>
      </c>
      <c r="B23" s="4">
        <v>0</v>
      </c>
      <c r="C23" s="1" t="s">
        <v>216</v>
      </c>
      <c r="D23" s="1"/>
      <c r="E23" s="1"/>
      <c r="F23" s="7"/>
      <c r="G23" s="1"/>
    </row>
    <row r="24" spans="1:7" x14ac:dyDescent="0.2">
      <c r="A24" s="91" t="s">
        <v>204</v>
      </c>
      <c r="B24" s="4">
        <v>0</v>
      </c>
      <c r="C24" s="1" t="s">
        <v>217</v>
      </c>
      <c r="D24" s="1"/>
      <c r="E24" s="1"/>
      <c r="F24" s="7"/>
      <c r="G24" s="1"/>
    </row>
    <row r="25" spans="1:7" x14ac:dyDescent="0.2">
      <c r="A25" s="91" t="s">
        <v>205</v>
      </c>
      <c r="B25" s="4">
        <v>0</v>
      </c>
      <c r="C25" s="1"/>
      <c r="D25" s="1"/>
      <c r="E25" s="1"/>
      <c r="F25" s="7"/>
      <c r="G25" s="1"/>
    </row>
    <row r="26" spans="1:7" x14ac:dyDescent="0.2">
      <c r="A26" s="91" t="s">
        <v>206</v>
      </c>
      <c r="B26" s="4">
        <v>0</v>
      </c>
      <c r="C26" s="1"/>
      <c r="D26" s="32"/>
      <c r="E26" s="1"/>
      <c r="F26" s="7"/>
      <c r="G26" s="1"/>
    </row>
    <row r="27" spans="1:7" x14ac:dyDescent="0.2">
      <c r="A27" s="91" t="s">
        <v>207</v>
      </c>
      <c r="B27" s="4">
        <v>0</v>
      </c>
      <c r="C27" s="1"/>
      <c r="D27" s="32"/>
      <c r="E27" s="1"/>
      <c r="F27" s="7"/>
      <c r="G27" s="1"/>
    </row>
    <row r="28" spans="1:7" x14ac:dyDescent="0.2">
      <c r="A28" s="91" t="s">
        <v>208</v>
      </c>
      <c r="B28" s="4">
        <v>0</v>
      </c>
      <c r="C28" s="1"/>
      <c r="D28" s="1"/>
      <c r="E28" s="1"/>
      <c r="F28" s="7"/>
      <c r="G28" s="1"/>
    </row>
    <row r="29" spans="1:7" x14ac:dyDescent="0.2">
      <c r="A29" s="91" t="s">
        <v>210</v>
      </c>
      <c r="B29" s="4">
        <v>0</v>
      </c>
      <c r="C29" s="1"/>
      <c r="D29" s="1"/>
      <c r="E29" s="1"/>
      <c r="F29" s="7"/>
      <c r="G29" s="1"/>
    </row>
    <row r="30" spans="1:7" x14ac:dyDescent="0.2">
      <c r="A30" s="105" t="s">
        <v>209</v>
      </c>
      <c r="B30" s="31">
        <f>(B22+B23+B24+B25-B26)-(B27+B28+B29+ExistingPrinciple+ExistingPrinciple2+ExistingPrinciple3+ExistingPrinciple4+ExistingPrinciple5)</f>
        <v>0</v>
      </c>
      <c r="C30" s="1"/>
      <c r="D30" s="1"/>
      <c r="E30" s="1"/>
      <c r="F30" s="7"/>
      <c r="G30" s="1"/>
    </row>
    <row r="31" spans="1:7" x14ac:dyDescent="0.2">
      <c r="A31" s="105"/>
      <c r="B31" s="31"/>
      <c r="C31" s="1"/>
      <c r="D31" s="1"/>
      <c r="E31" s="1"/>
      <c r="F31" s="7"/>
      <c r="G31" s="1"/>
    </row>
    <row r="32" spans="1:7" x14ac:dyDescent="0.2">
      <c r="A32" s="62" t="s">
        <v>239</v>
      </c>
      <c r="B32" s="119" t="s">
        <v>253</v>
      </c>
      <c r="C32" s="119" t="s">
        <v>254</v>
      </c>
      <c r="D32" s="119" t="s">
        <v>240</v>
      </c>
      <c r="E32" s="119" t="s">
        <v>241</v>
      </c>
      <c r="F32" s="119"/>
      <c r="G32" s="119" t="s">
        <v>242</v>
      </c>
    </row>
    <row r="33" spans="1:7" x14ac:dyDescent="0.2">
      <c r="A33" s="1" t="s">
        <v>121</v>
      </c>
      <c r="B33" s="108">
        <v>0</v>
      </c>
      <c r="C33" s="108">
        <v>0</v>
      </c>
      <c r="D33" s="108">
        <v>0</v>
      </c>
      <c r="E33" s="108">
        <v>0</v>
      </c>
      <c r="F33" s="120"/>
      <c r="G33" s="108">
        <v>0</v>
      </c>
    </row>
    <row r="34" spans="1:7" x14ac:dyDescent="0.2">
      <c r="A34" s="1" t="s">
        <v>122</v>
      </c>
      <c r="B34" s="106">
        <v>0</v>
      </c>
      <c r="C34" s="106">
        <v>0</v>
      </c>
      <c r="D34" s="106">
        <v>0</v>
      </c>
      <c r="E34" s="106">
        <v>0</v>
      </c>
      <c r="F34" s="120"/>
      <c r="G34" s="106">
        <v>0</v>
      </c>
    </row>
    <row r="35" spans="1:7" x14ac:dyDescent="0.2">
      <c r="A35" s="1" t="s">
        <v>126</v>
      </c>
      <c r="B35" s="3">
        <v>0</v>
      </c>
      <c r="C35" s="3">
        <v>0</v>
      </c>
      <c r="D35" s="3">
        <v>0</v>
      </c>
      <c r="E35" s="3">
        <v>0</v>
      </c>
      <c r="F35" s="120"/>
      <c r="G35" s="3">
        <v>0</v>
      </c>
    </row>
    <row r="36" spans="1:7" x14ac:dyDescent="0.2">
      <c r="A36" s="1" t="s">
        <v>134</v>
      </c>
      <c r="B36" s="61">
        <f>IF(ExistingTerm&gt;0,PMT(ExistingRate/12,ExistingTerm,ExistingPrinciple)*-1,ExistingPrinciple*ExistingRate/12)</f>
        <v>0</v>
      </c>
      <c r="C36" s="61">
        <f>IF(ExistingTerm2&gt;0,PMT(ExistingRate2/12,ExistingTerm2,ExistingPrinciple2)*-1,ExistingPrinciple2*ExistingRate2/12)</f>
        <v>0</v>
      </c>
      <c r="D36" s="61">
        <f>IF(ExistingTerm3&gt;0,PMT(ExistingRate3/12,ExistingTerm3,ExistingPrinciple3)*-1,ExistingPrinciple3*ExistingRate3/12)</f>
        <v>0</v>
      </c>
      <c r="E36" s="61">
        <f>IF(ExistingTerm4&gt;0,PMT(ExistingRate4/12,ExistingTerm4,ExistingPrinciple4)*-1,ExistingPrinciple4*ExistingRate4/12)</f>
        <v>0</v>
      </c>
      <c r="F36" s="7"/>
      <c r="G36" s="61">
        <f>IF(ExistingTerm5&gt;0,PMT(ExistingRate5/12,ExistingTerm5,ExistingPrinciple5)*-1,ExistingPrinciple5*ExistingRate5/12)</f>
        <v>0</v>
      </c>
    </row>
    <row r="37" spans="1:7" x14ac:dyDescent="0.2">
      <c r="A37" s="1"/>
      <c r="B37" s="1"/>
      <c r="C37" s="1"/>
      <c r="D37" s="1"/>
      <c r="E37" s="1"/>
      <c r="F37" s="13"/>
      <c r="G37" s="1"/>
    </row>
    <row r="38" spans="1:7" x14ac:dyDescent="0.2">
      <c r="F38" s="118"/>
    </row>
    <row r="39" spans="1:7" x14ac:dyDescent="0.2">
      <c r="A39" s="6"/>
      <c r="F39" s="13"/>
    </row>
    <row r="40" spans="1:7" x14ac:dyDescent="0.2">
      <c r="F40" s="7"/>
    </row>
    <row r="41" spans="1:7" x14ac:dyDescent="0.2">
      <c r="F41" s="7"/>
    </row>
    <row r="42" spans="1:7" x14ac:dyDescent="0.2">
      <c r="F42" s="7"/>
    </row>
    <row r="43" spans="1:7" x14ac:dyDescent="0.2">
      <c r="F43" s="7"/>
    </row>
    <row r="44" spans="1:7" x14ac:dyDescent="0.2">
      <c r="F44" s="7"/>
    </row>
    <row r="45" spans="1:7" x14ac:dyDescent="0.2">
      <c r="F45" s="7"/>
    </row>
    <row r="46" spans="1:7" x14ac:dyDescent="0.2">
      <c r="F46" s="7"/>
    </row>
    <row r="47" spans="1:7" x14ac:dyDescent="0.2">
      <c r="F47" s="23"/>
    </row>
    <row r="48" spans="1:7" x14ac:dyDescent="0.2">
      <c r="F48" s="23"/>
    </row>
    <row r="49" spans="6:6" x14ac:dyDescent="0.2">
      <c r="F49" s="23"/>
    </row>
    <row r="50" spans="6:6" x14ac:dyDescent="0.2">
      <c r="F50" s="23"/>
    </row>
    <row r="51" spans="6:6" x14ac:dyDescent="0.2">
      <c r="F51" s="7"/>
    </row>
    <row r="52" spans="6:6" x14ac:dyDescent="0.2">
      <c r="F52" s="53"/>
    </row>
  </sheetData>
  <sheetProtection algorithmName="SHA-512" hashValue="mQL5ygx5rHJ1ckqHkQIWyhcfqQDitxogmE2jq8OEDu33cJ9RG6vGBa4mw6C5ARa5T8JjVN1+ouEdw7kI4Xbr9A==" saltValue="8ozYxIRl3ragB4Zkc27H6A==" spinCount="100000" sheet="1" selectLockedCells="1"/>
  <mergeCells count="3">
    <mergeCell ref="A2:G2"/>
    <mergeCell ref="A3:G3"/>
    <mergeCell ref="A1:G1"/>
  </mergeCells>
  <phoneticPr fontId="2" type="noConversion"/>
  <dataValidations count="7">
    <dataValidation type="decimal" allowBlank="1" showInputMessage="1" showErrorMessage="1" errorTitle="Percentage of Cash Sales" error="Please enter a number between 0 and 100." sqref="B5:B6">
      <formula1>0</formula1>
      <formula2>1</formula2>
    </dataValidation>
    <dataValidation type="decimal" allowBlank="1" showInputMessage="1" showErrorMessage="1" errorTitle="A/R paid within 30 days" error="Please enter a number between 0 and 100._x000a_" sqref="B9">
      <formula1>0</formula1>
      <formula2>1</formula2>
    </dataValidation>
    <dataValidation type="decimal" allowBlank="1" showInputMessage="1" showErrorMessage="1" errorTitle="A/R paid 31 to 60 days" error="Please enter a number between 0 and 100._x000a_" sqref="B10">
      <formula1>0</formula1>
      <formula2>1</formula2>
    </dataValidation>
    <dataValidation type="decimal" allowBlank="1" showInputMessage="1" showErrorMessage="1" errorTitle="A/R paid  61 to 90 days." error="Please enter a number between 0 and 100." sqref="B11">
      <formula1>0</formula1>
      <formula2>1</formula2>
    </dataValidation>
    <dataValidation type="decimal" allowBlank="1" showInputMessage="1" showErrorMessage="1" errorTitle="Sales Commission Rate" error="Please enter a number between 0 and 100._x000a_" sqref="B19">
      <formula1>0</formula1>
      <formula2>1</formula2>
    </dataValidation>
    <dataValidation type="list" allowBlank="1" showInputMessage="1" showErrorMessage="1" errorTitle="Materials are required on hand" error="Please select 0, 30, 60, or 90 from the dropdown list." sqref="B16">
      <formula1>$F$6:$F$8</formula1>
    </dataValidation>
    <dataValidation type="list" allowBlank="1" showInputMessage="1" showErrorMessage="1" errorTitle="Materials are paid for" error="Please enter 0, 30 or 60 from the dropdown list." sqref="B17">
      <formula1>$F$6:$F$8</formula1>
    </dataValidation>
  </dataValidations>
  <pageMargins left="0.75" right="0.75" top="1" bottom="1" header="0.5" footer="0.5"/>
  <pageSetup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7"/>
  <sheetViews>
    <sheetView workbookViewId="0">
      <selection sqref="A1:N1"/>
    </sheetView>
  </sheetViews>
  <sheetFormatPr defaultRowHeight="12.75" x14ac:dyDescent="0.2"/>
  <cols>
    <col min="1" max="1" width="24.7109375" style="6" bestFit="1" customWidth="1"/>
    <col min="2" max="2" width="8.5703125" style="6" bestFit="1" customWidth="1"/>
    <col min="3" max="8" width="7.7109375" style="6" bestFit="1" customWidth="1"/>
    <col min="9" max="9" width="8.7109375" style="6" bestFit="1" customWidth="1"/>
    <col min="10" max="12" width="7.7109375" style="6" bestFit="1" customWidth="1"/>
    <col min="13" max="14" width="8.7109375" style="6" bestFit="1" customWidth="1"/>
    <col min="15" max="18" width="0" style="6" hidden="1" customWidth="1"/>
    <col min="19" max="16384" width="9.140625" style="6"/>
  </cols>
  <sheetData>
    <row r="1" spans="1:22" ht="99.95" customHeight="1" x14ac:dyDescent="0.2">
      <c r="A1" s="193"/>
      <c r="B1" s="193"/>
      <c r="C1" s="193"/>
      <c r="D1" s="193"/>
      <c r="E1" s="193"/>
      <c r="F1" s="193"/>
      <c r="G1" s="193"/>
      <c r="H1" s="193"/>
      <c r="I1" s="193"/>
      <c r="J1" s="193"/>
      <c r="K1" s="193"/>
      <c r="L1" s="193"/>
      <c r="M1" s="193"/>
      <c r="N1" s="193"/>
    </row>
    <row r="2" spans="1:22" ht="18" x14ac:dyDescent="0.25">
      <c r="A2" s="188" t="s">
        <v>88</v>
      </c>
      <c r="B2" s="188"/>
      <c r="C2" s="188"/>
      <c r="D2" s="188"/>
      <c r="E2" s="188"/>
      <c r="F2" s="188"/>
      <c r="G2" s="188"/>
      <c r="H2" s="188"/>
      <c r="I2" s="188"/>
      <c r="J2" s="188"/>
      <c r="K2" s="188"/>
      <c r="L2" s="188"/>
      <c r="M2" s="188"/>
      <c r="N2" s="188"/>
    </row>
    <row r="3" spans="1:22" s="57" customFormat="1" ht="18" x14ac:dyDescent="0.25">
      <c r="A3" s="188" t="str">
        <f>CompanyHeader</f>
        <v>Your Company Name Here (2020 - 2021)</v>
      </c>
      <c r="B3" s="192"/>
      <c r="C3" s="192"/>
      <c r="D3" s="192"/>
      <c r="E3" s="192"/>
      <c r="F3" s="192"/>
      <c r="G3" s="192"/>
      <c r="H3" s="192"/>
      <c r="I3" s="192"/>
      <c r="J3" s="192"/>
      <c r="K3" s="192"/>
      <c r="L3" s="192"/>
      <c r="M3" s="192"/>
      <c r="N3" s="192"/>
      <c r="O3" s="56"/>
      <c r="P3" s="56"/>
      <c r="Q3" s="56"/>
      <c r="R3" s="56"/>
      <c r="S3" s="56"/>
      <c r="T3" s="56"/>
      <c r="U3" s="56"/>
      <c r="V3" s="56"/>
    </row>
    <row r="4" spans="1:22" x14ac:dyDescent="0.2">
      <c r="A4" s="7"/>
      <c r="B4" s="7"/>
      <c r="C4" s="7"/>
      <c r="D4" s="7"/>
      <c r="E4" s="7"/>
      <c r="F4" s="7"/>
      <c r="G4" s="7"/>
      <c r="H4" s="7"/>
      <c r="I4" s="7"/>
      <c r="J4" s="7"/>
      <c r="K4" s="7"/>
      <c r="L4" s="7"/>
      <c r="M4" s="7"/>
      <c r="N4" s="7"/>
    </row>
    <row r="5" spans="1:22" s="12" customFormat="1" x14ac:dyDescent="0.2">
      <c r="A5" s="11" t="s">
        <v>0</v>
      </c>
      <c r="B5" s="11" t="str">
        <f>Month1</f>
        <v>Jul</v>
      </c>
      <c r="C5" s="11" t="str">
        <f>Month2</f>
        <v>Aug</v>
      </c>
      <c r="D5" s="11" t="str">
        <f>Month3</f>
        <v>Sep</v>
      </c>
      <c r="E5" s="11" t="str">
        <f>Month4</f>
        <v>Oct</v>
      </c>
      <c r="F5" s="11" t="str">
        <f>Month5</f>
        <v>Nov</v>
      </c>
      <c r="G5" s="11" t="str">
        <f>Month6</f>
        <v>Dec</v>
      </c>
      <c r="H5" s="11" t="str">
        <f>Month7</f>
        <v>Jan</v>
      </c>
      <c r="I5" s="11" t="str">
        <f>Month8</f>
        <v>Feb</v>
      </c>
      <c r="J5" s="11" t="str">
        <f>Month9</f>
        <v>Mar</v>
      </c>
      <c r="K5" s="11" t="str">
        <f>Month10</f>
        <v>Apr</v>
      </c>
      <c r="L5" s="11" t="str">
        <f>Month11</f>
        <v>May</v>
      </c>
      <c r="M5" s="11" t="str">
        <f>Month12</f>
        <v>Jun</v>
      </c>
      <c r="N5" s="11" t="s">
        <v>23</v>
      </c>
      <c r="O5" s="6" t="s">
        <v>8</v>
      </c>
      <c r="P5" s="6" t="s">
        <v>9</v>
      </c>
      <c r="Q5" s="6" t="s">
        <v>10</v>
      </c>
      <c r="R5" s="6" t="s">
        <v>11</v>
      </c>
    </row>
    <row r="6" spans="1:22" s="12" customFormat="1" x14ac:dyDescent="0.2">
      <c r="A6" s="95" t="s">
        <v>222</v>
      </c>
      <c r="B6" s="11"/>
      <c r="C6" s="11"/>
      <c r="D6" s="11"/>
      <c r="E6" s="11"/>
      <c r="F6" s="11"/>
      <c r="G6" s="11"/>
      <c r="H6" s="11"/>
      <c r="I6" s="11"/>
      <c r="J6" s="11"/>
      <c r="K6" s="11"/>
      <c r="L6" s="11"/>
      <c r="M6" s="11"/>
      <c r="N6" s="11"/>
      <c r="O6" s="6"/>
      <c r="P6" s="6"/>
      <c r="Q6" s="6"/>
      <c r="R6" s="6"/>
    </row>
    <row r="7" spans="1:22" x14ac:dyDescent="0.2">
      <c r="A7" s="96" t="s">
        <v>89</v>
      </c>
      <c r="B7" s="4"/>
      <c r="C7" s="4">
        <v>0</v>
      </c>
      <c r="D7" s="4">
        <v>0</v>
      </c>
      <c r="E7" s="4">
        <v>0</v>
      </c>
      <c r="F7" s="4">
        <v>0</v>
      </c>
      <c r="G7" s="4">
        <v>0</v>
      </c>
      <c r="H7" s="4">
        <v>0</v>
      </c>
      <c r="I7" s="4">
        <v>0</v>
      </c>
      <c r="J7" s="4">
        <v>0</v>
      </c>
      <c r="K7" s="4">
        <v>0</v>
      </c>
      <c r="L7" s="4">
        <v>0</v>
      </c>
      <c r="M7" s="4">
        <v>0</v>
      </c>
      <c r="N7" s="9">
        <f>SUM(B7:M7)</f>
        <v>0</v>
      </c>
      <c r="O7" s="8">
        <f>SUM(B7:D7)</f>
        <v>0</v>
      </c>
      <c r="P7" s="8">
        <f>SUM(E7:G7)</f>
        <v>0</v>
      </c>
      <c r="Q7" s="8">
        <f>SUM(H7:J7)</f>
        <v>0</v>
      </c>
      <c r="R7" s="8">
        <f>SUM(K7:M7)</f>
        <v>0</v>
      </c>
    </row>
    <row r="8" spans="1:22" x14ac:dyDescent="0.2">
      <c r="A8" s="96" t="s">
        <v>90</v>
      </c>
      <c r="B8" s="4">
        <v>0</v>
      </c>
      <c r="C8" s="4">
        <v>0</v>
      </c>
      <c r="D8" s="4">
        <v>0</v>
      </c>
      <c r="E8" s="4">
        <v>0</v>
      </c>
      <c r="F8" s="4">
        <v>0</v>
      </c>
      <c r="G8" s="4">
        <v>0</v>
      </c>
      <c r="H8" s="4">
        <v>0</v>
      </c>
      <c r="I8" s="4">
        <v>0</v>
      </c>
      <c r="J8" s="4">
        <v>0</v>
      </c>
      <c r="K8" s="4">
        <v>0</v>
      </c>
      <c r="L8" s="4">
        <v>0</v>
      </c>
      <c r="M8" s="4">
        <v>0</v>
      </c>
      <c r="N8" s="9">
        <f t="shared" ref="N8:N31" si="0">SUM(B8:M8)</f>
        <v>0</v>
      </c>
      <c r="O8" s="8">
        <f t="shared" ref="O8:O31" si="1">SUM(B8:D8)</f>
        <v>0</v>
      </c>
      <c r="P8" s="8">
        <f t="shared" ref="P8:P31" si="2">SUM(E8:G8)</f>
        <v>0</v>
      </c>
      <c r="Q8" s="8">
        <f t="shared" ref="Q8:Q31" si="3">SUM(H8:J8)</f>
        <v>0</v>
      </c>
      <c r="R8" s="8">
        <f t="shared" ref="R8:R31" si="4">SUM(K8:M8)</f>
        <v>0</v>
      </c>
    </row>
    <row r="9" spans="1:22" x14ac:dyDescent="0.2">
      <c r="A9" s="96" t="s">
        <v>91</v>
      </c>
      <c r="B9" s="4">
        <v>0</v>
      </c>
      <c r="C9" s="4">
        <v>0</v>
      </c>
      <c r="D9" s="4">
        <v>0</v>
      </c>
      <c r="E9" s="4">
        <v>0</v>
      </c>
      <c r="F9" s="4">
        <v>0</v>
      </c>
      <c r="G9" s="4">
        <v>0</v>
      </c>
      <c r="H9" s="4">
        <v>0</v>
      </c>
      <c r="I9" s="4">
        <v>0</v>
      </c>
      <c r="J9" s="4">
        <v>0</v>
      </c>
      <c r="K9" s="4">
        <v>0</v>
      </c>
      <c r="L9" s="4">
        <v>0</v>
      </c>
      <c r="M9" s="4">
        <v>0</v>
      </c>
      <c r="N9" s="9">
        <f t="shared" si="0"/>
        <v>0</v>
      </c>
      <c r="O9" s="8">
        <f t="shared" si="1"/>
        <v>0</v>
      </c>
      <c r="P9" s="8">
        <f t="shared" si="2"/>
        <v>0</v>
      </c>
      <c r="Q9" s="8">
        <f t="shared" si="3"/>
        <v>0</v>
      </c>
      <c r="R9" s="8">
        <f t="shared" si="4"/>
        <v>0</v>
      </c>
    </row>
    <row r="10" spans="1:22" x14ac:dyDescent="0.2">
      <c r="A10" s="96"/>
      <c r="B10" s="34"/>
      <c r="C10" s="34"/>
      <c r="D10" s="34"/>
      <c r="E10" s="34"/>
      <c r="F10" s="34"/>
      <c r="G10" s="34"/>
      <c r="H10" s="34"/>
      <c r="I10" s="34"/>
      <c r="J10" s="34"/>
      <c r="K10" s="34"/>
      <c r="L10" s="34"/>
      <c r="M10" s="34"/>
      <c r="N10" s="9"/>
      <c r="O10" s="8"/>
      <c r="P10" s="8"/>
      <c r="Q10" s="8"/>
      <c r="R10" s="8"/>
    </row>
    <row r="11" spans="1:22" x14ac:dyDescent="0.2">
      <c r="A11" s="89" t="s">
        <v>221</v>
      </c>
      <c r="B11" s="34"/>
      <c r="C11" s="34"/>
      <c r="D11" s="34"/>
      <c r="E11" s="34"/>
      <c r="F11" s="34"/>
      <c r="G11" s="34"/>
      <c r="H11" s="34"/>
      <c r="I11" s="34"/>
      <c r="J11" s="34"/>
      <c r="K11" s="34"/>
      <c r="L11" s="34"/>
      <c r="M11" s="34"/>
      <c r="N11" s="9"/>
      <c r="O11" s="8"/>
      <c r="P11" s="8"/>
      <c r="Q11" s="8"/>
      <c r="R11" s="8"/>
    </row>
    <row r="12" spans="1:22" x14ac:dyDescent="0.2">
      <c r="A12" s="96" t="s">
        <v>1</v>
      </c>
      <c r="B12" s="4">
        <v>0</v>
      </c>
      <c r="C12" s="4">
        <v>0</v>
      </c>
      <c r="D12" s="4">
        <v>0</v>
      </c>
      <c r="E12" s="4">
        <v>0</v>
      </c>
      <c r="F12" s="4">
        <v>0</v>
      </c>
      <c r="G12" s="4">
        <v>0</v>
      </c>
      <c r="H12" s="4">
        <v>0</v>
      </c>
      <c r="I12" s="4">
        <v>0</v>
      </c>
      <c r="J12" s="4">
        <v>0</v>
      </c>
      <c r="K12" s="4">
        <v>0</v>
      </c>
      <c r="L12" s="4">
        <v>0</v>
      </c>
      <c r="M12" s="4">
        <v>0</v>
      </c>
      <c r="N12" s="9">
        <f t="shared" si="0"/>
        <v>0</v>
      </c>
      <c r="O12" s="8">
        <f t="shared" si="1"/>
        <v>0</v>
      </c>
      <c r="P12" s="8">
        <f t="shared" si="2"/>
        <v>0</v>
      </c>
      <c r="Q12" s="8">
        <f t="shared" si="3"/>
        <v>0</v>
      </c>
      <c r="R12" s="8">
        <f t="shared" si="4"/>
        <v>0</v>
      </c>
    </row>
    <row r="13" spans="1:22" x14ac:dyDescent="0.2">
      <c r="A13" s="96" t="s">
        <v>93</v>
      </c>
      <c r="B13" s="4"/>
      <c r="C13" s="4"/>
      <c r="D13" s="4"/>
      <c r="E13" s="4"/>
      <c r="F13" s="4"/>
      <c r="G13" s="4"/>
      <c r="H13" s="4"/>
      <c r="I13" s="4"/>
      <c r="J13" s="4"/>
      <c r="K13" s="4"/>
      <c r="L13" s="4"/>
      <c r="M13" s="4"/>
      <c r="N13" s="9">
        <f t="shared" si="0"/>
        <v>0</v>
      </c>
      <c r="O13" s="8">
        <f t="shared" si="1"/>
        <v>0</v>
      </c>
      <c r="P13" s="8">
        <f t="shared" si="2"/>
        <v>0</v>
      </c>
      <c r="Q13" s="8">
        <f t="shared" si="3"/>
        <v>0</v>
      </c>
      <c r="R13" s="8">
        <f t="shared" si="4"/>
        <v>0</v>
      </c>
    </row>
    <row r="14" spans="1:22" x14ac:dyDescent="0.2">
      <c r="A14" s="96" t="s">
        <v>2</v>
      </c>
      <c r="B14" s="4"/>
      <c r="C14" s="4"/>
      <c r="D14" s="4"/>
      <c r="E14" s="4"/>
      <c r="F14" s="4">
        <v>0</v>
      </c>
      <c r="G14" s="4">
        <v>0</v>
      </c>
      <c r="H14" s="4">
        <v>0</v>
      </c>
      <c r="I14" s="4">
        <v>0</v>
      </c>
      <c r="J14" s="4">
        <v>0</v>
      </c>
      <c r="K14" s="4">
        <v>0</v>
      </c>
      <c r="L14" s="4">
        <v>0</v>
      </c>
      <c r="M14" s="4">
        <v>0</v>
      </c>
      <c r="N14" s="9">
        <f t="shared" si="0"/>
        <v>0</v>
      </c>
      <c r="O14" s="8">
        <f t="shared" si="1"/>
        <v>0</v>
      </c>
      <c r="P14" s="8">
        <f t="shared" si="2"/>
        <v>0</v>
      </c>
      <c r="Q14" s="8">
        <f t="shared" si="3"/>
        <v>0</v>
      </c>
      <c r="R14" s="8">
        <f t="shared" si="4"/>
        <v>0</v>
      </c>
    </row>
    <row r="15" spans="1:22" x14ac:dyDescent="0.2">
      <c r="A15" s="96" t="s">
        <v>116</v>
      </c>
      <c r="B15" s="4"/>
      <c r="C15" s="4"/>
      <c r="D15" s="4"/>
      <c r="E15" s="4"/>
      <c r="F15" s="4"/>
      <c r="G15" s="4"/>
      <c r="H15" s="4"/>
      <c r="I15" s="4"/>
      <c r="J15" s="4"/>
      <c r="K15" s="4"/>
      <c r="L15" s="4"/>
      <c r="M15" s="4"/>
      <c r="N15" s="9">
        <f t="shared" si="0"/>
        <v>0</v>
      </c>
      <c r="O15" s="8">
        <f t="shared" si="1"/>
        <v>0</v>
      </c>
      <c r="P15" s="8">
        <f t="shared" si="2"/>
        <v>0</v>
      </c>
      <c r="Q15" s="8">
        <f t="shared" si="3"/>
        <v>0</v>
      </c>
      <c r="R15" s="8">
        <f t="shared" si="4"/>
        <v>0</v>
      </c>
    </row>
    <row r="16" spans="1:22" x14ac:dyDescent="0.2">
      <c r="A16" s="96" t="s">
        <v>24</v>
      </c>
      <c r="B16" s="4">
        <v>0</v>
      </c>
      <c r="C16" s="4">
        <v>0</v>
      </c>
      <c r="D16" s="4">
        <v>0</v>
      </c>
      <c r="E16" s="4">
        <v>0</v>
      </c>
      <c r="F16" s="4">
        <v>0</v>
      </c>
      <c r="G16" s="4">
        <v>0</v>
      </c>
      <c r="H16" s="4">
        <v>0</v>
      </c>
      <c r="I16" s="4">
        <v>0</v>
      </c>
      <c r="J16" s="4">
        <v>0</v>
      </c>
      <c r="K16" s="4">
        <v>0</v>
      </c>
      <c r="L16" s="4">
        <v>0</v>
      </c>
      <c r="M16" s="4">
        <v>0</v>
      </c>
      <c r="N16" s="9">
        <f t="shared" si="0"/>
        <v>0</v>
      </c>
      <c r="O16" s="8">
        <f t="shared" si="1"/>
        <v>0</v>
      </c>
      <c r="P16" s="8">
        <f t="shared" si="2"/>
        <v>0</v>
      </c>
      <c r="Q16" s="8">
        <f t="shared" si="3"/>
        <v>0</v>
      </c>
      <c r="R16" s="8">
        <f t="shared" si="4"/>
        <v>0</v>
      </c>
    </row>
    <row r="17" spans="1:18" x14ac:dyDescent="0.2">
      <c r="A17" s="96" t="s">
        <v>3</v>
      </c>
      <c r="B17" s="4">
        <v>0</v>
      </c>
      <c r="C17" s="4">
        <v>0</v>
      </c>
      <c r="D17" s="4">
        <v>0</v>
      </c>
      <c r="E17" s="4">
        <v>0</v>
      </c>
      <c r="F17" s="4">
        <v>0</v>
      </c>
      <c r="G17" s="4">
        <v>0</v>
      </c>
      <c r="H17" s="4">
        <v>0</v>
      </c>
      <c r="I17" s="4">
        <v>0</v>
      </c>
      <c r="J17" s="4">
        <v>0</v>
      </c>
      <c r="K17" s="4">
        <v>0</v>
      </c>
      <c r="L17" s="4">
        <v>0</v>
      </c>
      <c r="M17" s="4">
        <v>0</v>
      </c>
      <c r="N17" s="9">
        <f t="shared" si="0"/>
        <v>0</v>
      </c>
      <c r="O17" s="8">
        <f t="shared" si="1"/>
        <v>0</v>
      </c>
      <c r="P17" s="8">
        <f t="shared" si="2"/>
        <v>0</v>
      </c>
      <c r="Q17" s="8">
        <f t="shared" si="3"/>
        <v>0</v>
      </c>
      <c r="R17" s="8">
        <f t="shared" si="4"/>
        <v>0</v>
      </c>
    </row>
    <row r="18" spans="1:18" x14ac:dyDescent="0.2">
      <c r="A18" s="96" t="s">
        <v>94</v>
      </c>
      <c r="B18" s="4">
        <v>0</v>
      </c>
      <c r="C18" s="4">
        <v>0</v>
      </c>
      <c r="D18" s="4">
        <v>0</v>
      </c>
      <c r="E18" s="4">
        <v>0</v>
      </c>
      <c r="F18" s="4">
        <v>0</v>
      </c>
      <c r="G18" s="4">
        <v>0</v>
      </c>
      <c r="H18" s="4">
        <v>0</v>
      </c>
      <c r="I18" s="4">
        <v>0</v>
      </c>
      <c r="J18" s="4">
        <v>0</v>
      </c>
      <c r="K18" s="4">
        <v>0</v>
      </c>
      <c r="L18" s="4">
        <v>0</v>
      </c>
      <c r="M18" s="4">
        <v>0</v>
      </c>
      <c r="N18" s="9">
        <f t="shared" si="0"/>
        <v>0</v>
      </c>
      <c r="O18" s="8">
        <f t="shared" si="1"/>
        <v>0</v>
      </c>
      <c r="P18" s="8">
        <f t="shared" si="2"/>
        <v>0</v>
      </c>
      <c r="Q18" s="8">
        <f t="shared" si="3"/>
        <v>0</v>
      </c>
      <c r="R18" s="8">
        <f t="shared" si="4"/>
        <v>0</v>
      </c>
    </row>
    <row r="19" spans="1:18" x14ac:dyDescent="0.2">
      <c r="A19" s="96" t="s">
        <v>4</v>
      </c>
      <c r="B19" s="4">
        <v>0</v>
      </c>
      <c r="C19" s="4">
        <v>0</v>
      </c>
      <c r="D19" s="4">
        <v>0</v>
      </c>
      <c r="E19" s="4">
        <v>0</v>
      </c>
      <c r="F19" s="4">
        <v>0</v>
      </c>
      <c r="G19" s="4">
        <v>0</v>
      </c>
      <c r="H19" s="4">
        <v>0</v>
      </c>
      <c r="I19" s="4">
        <v>0</v>
      </c>
      <c r="J19" s="4">
        <v>0</v>
      </c>
      <c r="K19" s="4">
        <v>0</v>
      </c>
      <c r="L19" s="4">
        <v>0</v>
      </c>
      <c r="M19" s="4">
        <v>0</v>
      </c>
      <c r="N19" s="9">
        <f t="shared" si="0"/>
        <v>0</v>
      </c>
      <c r="O19" s="8">
        <f t="shared" si="1"/>
        <v>0</v>
      </c>
      <c r="P19" s="8">
        <f t="shared" si="2"/>
        <v>0</v>
      </c>
      <c r="Q19" s="8">
        <f t="shared" si="3"/>
        <v>0</v>
      </c>
      <c r="R19" s="8">
        <f t="shared" si="4"/>
        <v>0</v>
      </c>
    </row>
    <row r="20" spans="1:18" x14ac:dyDescent="0.2">
      <c r="A20" s="96" t="s">
        <v>5</v>
      </c>
      <c r="B20" s="4"/>
      <c r="C20" s="4"/>
      <c r="D20" s="4"/>
      <c r="E20" s="4"/>
      <c r="F20" s="4"/>
      <c r="G20" s="4"/>
      <c r="H20" s="4"/>
      <c r="I20" s="4"/>
      <c r="J20" s="4"/>
      <c r="K20" s="4"/>
      <c r="L20" s="4"/>
      <c r="M20" s="4"/>
      <c r="N20" s="9">
        <f t="shared" si="0"/>
        <v>0</v>
      </c>
      <c r="O20" s="8">
        <f t="shared" si="1"/>
        <v>0</v>
      </c>
      <c r="P20" s="8">
        <f t="shared" si="2"/>
        <v>0</v>
      </c>
      <c r="Q20" s="8">
        <f t="shared" si="3"/>
        <v>0</v>
      </c>
      <c r="R20" s="8">
        <f t="shared" si="4"/>
        <v>0</v>
      </c>
    </row>
    <row r="21" spans="1:18" x14ac:dyDescent="0.2">
      <c r="A21" s="96" t="s">
        <v>95</v>
      </c>
      <c r="B21" s="4">
        <v>0</v>
      </c>
      <c r="C21" s="4">
        <v>0</v>
      </c>
      <c r="D21" s="4">
        <v>0</v>
      </c>
      <c r="E21" s="4">
        <v>0</v>
      </c>
      <c r="F21" s="4">
        <v>0</v>
      </c>
      <c r="G21" s="4">
        <v>0</v>
      </c>
      <c r="H21" s="4">
        <v>0</v>
      </c>
      <c r="I21" s="4">
        <v>0</v>
      </c>
      <c r="J21" s="4">
        <v>0</v>
      </c>
      <c r="K21" s="4">
        <v>0</v>
      </c>
      <c r="L21" s="4">
        <v>0</v>
      </c>
      <c r="M21" s="4">
        <v>0</v>
      </c>
      <c r="N21" s="9">
        <f t="shared" si="0"/>
        <v>0</v>
      </c>
      <c r="O21" s="8">
        <f t="shared" si="1"/>
        <v>0</v>
      </c>
      <c r="P21" s="8">
        <f t="shared" si="2"/>
        <v>0</v>
      </c>
      <c r="Q21" s="8">
        <f t="shared" si="3"/>
        <v>0</v>
      </c>
      <c r="R21" s="8">
        <f t="shared" si="4"/>
        <v>0</v>
      </c>
    </row>
    <row r="22" spans="1:18" x14ac:dyDescent="0.2">
      <c r="A22" s="96" t="s">
        <v>75</v>
      </c>
      <c r="B22" s="4"/>
      <c r="C22" s="4"/>
      <c r="D22" s="4"/>
      <c r="E22" s="4"/>
      <c r="F22" s="4"/>
      <c r="G22" s="4"/>
      <c r="H22" s="4"/>
      <c r="I22" s="4"/>
      <c r="J22" s="4"/>
      <c r="K22" s="4"/>
      <c r="L22" s="4"/>
      <c r="M22" s="4"/>
      <c r="N22" s="9">
        <f t="shared" si="0"/>
        <v>0</v>
      </c>
      <c r="O22" s="8">
        <f t="shared" si="1"/>
        <v>0</v>
      </c>
      <c r="P22" s="8">
        <f t="shared" si="2"/>
        <v>0</v>
      </c>
      <c r="Q22" s="8">
        <f t="shared" si="3"/>
        <v>0</v>
      </c>
      <c r="R22" s="8">
        <f t="shared" si="4"/>
        <v>0</v>
      </c>
    </row>
    <row r="23" spans="1:18" x14ac:dyDescent="0.2">
      <c r="A23" s="90" t="s">
        <v>96</v>
      </c>
      <c r="B23" s="4">
        <v>0</v>
      </c>
      <c r="C23" s="4">
        <v>0</v>
      </c>
      <c r="D23" s="4">
        <v>0</v>
      </c>
      <c r="E23" s="4">
        <v>0</v>
      </c>
      <c r="F23" s="4">
        <v>0</v>
      </c>
      <c r="G23" s="4">
        <v>0</v>
      </c>
      <c r="H23" s="4">
        <v>0</v>
      </c>
      <c r="I23" s="4">
        <v>0</v>
      </c>
      <c r="J23" s="4">
        <v>0</v>
      </c>
      <c r="K23" s="4">
        <v>0</v>
      </c>
      <c r="L23" s="4">
        <v>0</v>
      </c>
      <c r="M23" s="4">
        <v>0</v>
      </c>
      <c r="N23" s="9">
        <f t="shared" si="0"/>
        <v>0</v>
      </c>
      <c r="O23" s="8">
        <f t="shared" si="1"/>
        <v>0</v>
      </c>
      <c r="P23" s="8">
        <f t="shared" si="2"/>
        <v>0</v>
      </c>
      <c r="Q23" s="8">
        <f t="shared" si="3"/>
        <v>0</v>
      </c>
      <c r="R23" s="8">
        <f t="shared" si="4"/>
        <v>0</v>
      </c>
    </row>
    <row r="24" spans="1:18" x14ac:dyDescent="0.2">
      <c r="A24" s="90"/>
      <c r="B24" s="4"/>
      <c r="C24" s="4"/>
      <c r="D24" s="4"/>
      <c r="E24" s="4"/>
      <c r="F24" s="4"/>
      <c r="G24" s="4"/>
      <c r="H24" s="4"/>
      <c r="I24" s="4"/>
      <c r="J24" s="4"/>
      <c r="K24" s="4"/>
      <c r="L24" s="4"/>
      <c r="M24" s="4"/>
      <c r="N24" s="9">
        <f t="shared" si="0"/>
        <v>0</v>
      </c>
      <c r="O24" s="8">
        <f t="shared" si="1"/>
        <v>0</v>
      </c>
      <c r="P24" s="8">
        <f t="shared" si="2"/>
        <v>0</v>
      </c>
      <c r="Q24" s="8">
        <f t="shared" si="3"/>
        <v>0</v>
      </c>
      <c r="R24" s="8">
        <f t="shared" si="4"/>
        <v>0</v>
      </c>
    </row>
    <row r="25" spans="1:18" x14ac:dyDescent="0.2">
      <c r="A25" s="90"/>
      <c r="B25" s="4"/>
      <c r="C25" s="4"/>
      <c r="D25" s="4"/>
      <c r="E25" s="4"/>
      <c r="F25" s="4"/>
      <c r="G25" s="4"/>
      <c r="H25" s="4"/>
      <c r="I25" s="4"/>
      <c r="J25" s="4"/>
      <c r="K25" s="4"/>
      <c r="L25" s="4"/>
      <c r="M25" s="4"/>
      <c r="N25" s="9">
        <f t="shared" si="0"/>
        <v>0</v>
      </c>
      <c r="O25" s="8">
        <f t="shared" si="1"/>
        <v>0</v>
      </c>
      <c r="P25" s="8">
        <f t="shared" si="2"/>
        <v>0</v>
      </c>
      <c r="Q25" s="8">
        <f t="shared" si="3"/>
        <v>0</v>
      </c>
      <c r="R25" s="8">
        <f t="shared" si="4"/>
        <v>0</v>
      </c>
    </row>
    <row r="26" spans="1:18" x14ac:dyDescent="0.2">
      <c r="A26" s="90"/>
      <c r="B26" s="4"/>
      <c r="C26" s="4"/>
      <c r="D26" s="4"/>
      <c r="E26" s="4"/>
      <c r="F26" s="4"/>
      <c r="G26" s="4"/>
      <c r="H26" s="4"/>
      <c r="I26" s="4"/>
      <c r="J26" s="4"/>
      <c r="K26" s="4"/>
      <c r="L26" s="4"/>
      <c r="M26" s="4"/>
      <c r="N26" s="9">
        <f t="shared" si="0"/>
        <v>0</v>
      </c>
      <c r="O26" s="8">
        <f t="shared" si="1"/>
        <v>0</v>
      </c>
      <c r="P26" s="8">
        <f t="shared" si="2"/>
        <v>0</v>
      </c>
      <c r="Q26" s="8">
        <f t="shared" si="3"/>
        <v>0</v>
      </c>
      <c r="R26" s="8">
        <f t="shared" si="4"/>
        <v>0</v>
      </c>
    </row>
    <row r="27" spans="1:18" x14ac:dyDescent="0.2">
      <c r="A27" s="90"/>
      <c r="B27" s="4"/>
      <c r="C27" s="4"/>
      <c r="D27" s="4"/>
      <c r="E27" s="4"/>
      <c r="F27" s="4"/>
      <c r="G27" s="4"/>
      <c r="H27" s="4"/>
      <c r="I27" s="4"/>
      <c r="J27" s="4"/>
      <c r="K27" s="4"/>
      <c r="L27" s="4"/>
      <c r="M27" s="4"/>
      <c r="N27" s="9">
        <f t="shared" si="0"/>
        <v>0</v>
      </c>
      <c r="O27" s="8">
        <f t="shared" si="1"/>
        <v>0</v>
      </c>
      <c r="P27" s="8">
        <f t="shared" si="2"/>
        <v>0</v>
      </c>
      <c r="Q27" s="8">
        <f t="shared" si="3"/>
        <v>0</v>
      </c>
      <c r="R27" s="8">
        <f t="shared" si="4"/>
        <v>0</v>
      </c>
    </row>
    <row r="28" spans="1:18" x14ac:dyDescent="0.2">
      <c r="A28" s="90"/>
      <c r="B28" s="4"/>
      <c r="C28" s="4"/>
      <c r="D28" s="4"/>
      <c r="E28" s="4"/>
      <c r="F28" s="4"/>
      <c r="G28" s="4"/>
      <c r="H28" s="4"/>
      <c r="I28" s="4"/>
      <c r="J28" s="4"/>
      <c r="K28" s="4"/>
      <c r="L28" s="4"/>
      <c r="M28" s="4"/>
      <c r="N28" s="9">
        <f>SUM(B28:M28)</f>
        <v>0</v>
      </c>
      <c r="O28" s="8">
        <f>SUM(B28:D28)</f>
        <v>0</v>
      </c>
      <c r="P28" s="8">
        <f>SUM(E28:G28)</f>
        <v>0</v>
      </c>
      <c r="Q28" s="8">
        <f>SUM(H28:J28)</f>
        <v>0</v>
      </c>
      <c r="R28" s="8">
        <f>SUM(K28:M28)</f>
        <v>0</v>
      </c>
    </row>
    <row r="29" spans="1:18" x14ac:dyDescent="0.2">
      <c r="A29" s="90"/>
      <c r="B29" s="4"/>
      <c r="C29" s="4"/>
      <c r="D29" s="4"/>
      <c r="E29" s="4"/>
      <c r="F29" s="4"/>
      <c r="G29" s="4"/>
      <c r="H29" s="4"/>
      <c r="I29" s="4"/>
      <c r="J29" s="4"/>
      <c r="K29" s="4"/>
      <c r="L29" s="4"/>
      <c r="M29" s="4"/>
      <c r="N29" s="9">
        <f t="shared" si="0"/>
        <v>0</v>
      </c>
      <c r="O29" s="8">
        <f t="shared" si="1"/>
        <v>0</v>
      </c>
      <c r="P29" s="8">
        <f t="shared" si="2"/>
        <v>0</v>
      </c>
      <c r="Q29" s="8">
        <f t="shared" si="3"/>
        <v>0</v>
      </c>
      <c r="R29" s="8">
        <f t="shared" si="4"/>
        <v>0</v>
      </c>
    </row>
    <row r="30" spans="1:18" x14ac:dyDescent="0.2">
      <c r="A30" s="96" t="s">
        <v>262</v>
      </c>
      <c r="B30" s="34">
        <f t="shared" ref="B30:M30" si="5">Unexpected*SUM(B7:B29)</f>
        <v>0</v>
      </c>
      <c r="C30" s="34">
        <f t="shared" si="5"/>
        <v>0</v>
      </c>
      <c r="D30" s="34">
        <f t="shared" si="5"/>
        <v>0</v>
      </c>
      <c r="E30" s="34">
        <f t="shared" si="5"/>
        <v>0</v>
      </c>
      <c r="F30" s="34">
        <f t="shared" si="5"/>
        <v>0</v>
      </c>
      <c r="G30" s="34">
        <f t="shared" si="5"/>
        <v>0</v>
      </c>
      <c r="H30" s="34">
        <f t="shared" si="5"/>
        <v>0</v>
      </c>
      <c r="I30" s="34">
        <f t="shared" si="5"/>
        <v>0</v>
      </c>
      <c r="J30" s="34">
        <f t="shared" si="5"/>
        <v>0</v>
      </c>
      <c r="K30" s="34">
        <f t="shared" si="5"/>
        <v>0</v>
      </c>
      <c r="L30" s="34">
        <f t="shared" si="5"/>
        <v>0</v>
      </c>
      <c r="M30" s="34">
        <f t="shared" si="5"/>
        <v>0</v>
      </c>
      <c r="N30" s="9">
        <f t="shared" si="0"/>
        <v>0</v>
      </c>
      <c r="O30" s="8">
        <f t="shared" si="1"/>
        <v>0</v>
      </c>
      <c r="P30" s="8">
        <f t="shared" si="2"/>
        <v>0</v>
      </c>
      <c r="Q30" s="8">
        <f t="shared" si="3"/>
        <v>0</v>
      </c>
      <c r="R30" s="8">
        <f t="shared" si="4"/>
        <v>0</v>
      </c>
    </row>
    <row r="31" spans="1:18" x14ac:dyDescent="0.2">
      <c r="A31" s="13" t="s">
        <v>224</v>
      </c>
      <c r="B31" s="9">
        <f>SUM(B7:B30)</f>
        <v>0</v>
      </c>
      <c r="C31" s="9">
        <f t="shared" ref="C31:M31" si="6">SUM(C7:C30)</f>
        <v>0</v>
      </c>
      <c r="D31" s="9">
        <f t="shared" si="6"/>
        <v>0</v>
      </c>
      <c r="E31" s="9">
        <f t="shared" si="6"/>
        <v>0</v>
      </c>
      <c r="F31" s="9">
        <f t="shared" si="6"/>
        <v>0</v>
      </c>
      <c r="G31" s="9">
        <f t="shared" si="6"/>
        <v>0</v>
      </c>
      <c r="H31" s="9">
        <f t="shared" si="6"/>
        <v>0</v>
      </c>
      <c r="I31" s="9">
        <f t="shared" si="6"/>
        <v>0</v>
      </c>
      <c r="J31" s="9">
        <f t="shared" si="6"/>
        <v>0</v>
      </c>
      <c r="K31" s="9">
        <f t="shared" si="6"/>
        <v>0</v>
      </c>
      <c r="L31" s="9">
        <f t="shared" si="6"/>
        <v>0</v>
      </c>
      <c r="M31" s="9">
        <f t="shared" si="6"/>
        <v>0</v>
      </c>
      <c r="N31" s="9">
        <f t="shared" si="0"/>
        <v>0</v>
      </c>
      <c r="O31" s="8">
        <f t="shared" si="1"/>
        <v>0</v>
      </c>
      <c r="P31" s="8">
        <f t="shared" si="2"/>
        <v>0</v>
      </c>
      <c r="Q31" s="8">
        <f t="shared" si="3"/>
        <v>0</v>
      </c>
      <c r="R31" s="8">
        <f t="shared" si="4"/>
        <v>0</v>
      </c>
    </row>
    <row r="32" spans="1:18" x14ac:dyDescent="0.2">
      <c r="A32" s="98" t="s">
        <v>97</v>
      </c>
      <c r="B32" s="34">
        <f>JanNet*SalesCommissionRate</f>
        <v>0</v>
      </c>
      <c r="C32" s="34">
        <f>FebNet*SalesCommissionRate</f>
        <v>0</v>
      </c>
      <c r="D32" s="34">
        <f>MarNet*SalesCommissionRate</f>
        <v>0</v>
      </c>
      <c r="E32" s="34">
        <f>AprNet*SalesCommissionRate</f>
        <v>0</v>
      </c>
      <c r="F32" s="34">
        <f>MayNet*SalesCommissionRate</f>
        <v>0</v>
      </c>
      <c r="G32" s="34">
        <f>JunNet*SalesCommissionRate</f>
        <v>0</v>
      </c>
      <c r="H32" s="34">
        <f>JulNet*SalesCommissionRate</f>
        <v>0</v>
      </c>
      <c r="I32" s="34">
        <f>AugNet*SalesCommissionRate</f>
        <v>0</v>
      </c>
      <c r="J32" s="34">
        <f>SepNet*SalesCommissionRate</f>
        <v>0</v>
      </c>
      <c r="K32" s="34">
        <f>OctNet*SalesCommissionRate</f>
        <v>0</v>
      </c>
      <c r="L32" s="34">
        <f>NovNet*SalesCommissionRate</f>
        <v>0</v>
      </c>
      <c r="M32" s="34">
        <f>DecNet*SalesCommissionRate</f>
        <v>0</v>
      </c>
      <c r="N32" s="9">
        <f>SUM(B32:M32)</f>
        <v>0</v>
      </c>
      <c r="O32" s="8"/>
      <c r="P32" s="8"/>
      <c r="Q32" s="8"/>
      <c r="R32" s="8"/>
    </row>
    <row r="33" spans="1:18" x14ac:dyDescent="0.2">
      <c r="A33" s="97" t="s">
        <v>92</v>
      </c>
      <c r="B33" s="34">
        <f t="shared" ref="B33:M33" si="7">0.15*(SUM(B7:B10)+B32)</f>
        <v>0</v>
      </c>
      <c r="C33" s="34">
        <f t="shared" si="7"/>
        <v>0</v>
      </c>
      <c r="D33" s="34">
        <f t="shared" si="7"/>
        <v>0</v>
      </c>
      <c r="E33" s="34">
        <f t="shared" si="7"/>
        <v>0</v>
      </c>
      <c r="F33" s="34">
        <f t="shared" si="7"/>
        <v>0</v>
      </c>
      <c r="G33" s="34">
        <f t="shared" si="7"/>
        <v>0</v>
      </c>
      <c r="H33" s="34">
        <f t="shared" si="7"/>
        <v>0</v>
      </c>
      <c r="I33" s="34">
        <f t="shared" si="7"/>
        <v>0</v>
      </c>
      <c r="J33" s="34">
        <f t="shared" si="7"/>
        <v>0</v>
      </c>
      <c r="K33" s="34">
        <f t="shared" si="7"/>
        <v>0</v>
      </c>
      <c r="L33" s="34">
        <f t="shared" si="7"/>
        <v>0</v>
      </c>
      <c r="M33" s="34">
        <f t="shared" si="7"/>
        <v>0</v>
      </c>
      <c r="N33" s="9">
        <f>SUM(B33:M33)</f>
        <v>0</v>
      </c>
      <c r="O33" s="8">
        <f>SUM(B33:D33)</f>
        <v>0</v>
      </c>
      <c r="P33" s="8">
        <f>SUM(E33:G33)</f>
        <v>0</v>
      </c>
      <c r="Q33" s="8">
        <f>SUM(H33:J33)</f>
        <v>0</v>
      </c>
      <c r="R33" s="8">
        <f>SUM(K33:M33)</f>
        <v>0</v>
      </c>
    </row>
    <row r="34" spans="1:18" x14ac:dyDescent="0.2">
      <c r="A34" s="7"/>
      <c r="B34" s="7"/>
      <c r="C34" s="7"/>
      <c r="D34" s="7"/>
      <c r="E34" s="7"/>
      <c r="F34" s="7"/>
      <c r="G34" s="7"/>
      <c r="H34" s="7"/>
      <c r="I34" s="7"/>
      <c r="J34" s="7"/>
      <c r="K34" s="7"/>
      <c r="L34" s="7"/>
      <c r="M34" s="7"/>
      <c r="N34" s="7"/>
    </row>
    <row r="35" spans="1:18" x14ac:dyDescent="0.2">
      <c r="A35" s="13" t="s">
        <v>227</v>
      </c>
      <c r="B35" s="9">
        <f>SUM(B31:B33)</f>
        <v>0</v>
      </c>
      <c r="C35" s="9">
        <f t="shared" ref="C35:N35" si="8">SUM(C31:C33)</f>
        <v>0</v>
      </c>
      <c r="D35" s="9">
        <f t="shared" si="8"/>
        <v>0</v>
      </c>
      <c r="E35" s="9">
        <f t="shared" si="8"/>
        <v>0</v>
      </c>
      <c r="F35" s="9">
        <f t="shared" si="8"/>
        <v>0</v>
      </c>
      <c r="G35" s="9">
        <f t="shared" si="8"/>
        <v>0</v>
      </c>
      <c r="H35" s="9">
        <f t="shared" si="8"/>
        <v>0</v>
      </c>
      <c r="I35" s="9">
        <f t="shared" si="8"/>
        <v>0</v>
      </c>
      <c r="J35" s="9">
        <f t="shared" si="8"/>
        <v>0</v>
      </c>
      <c r="K35" s="9">
        <f t="shared" si="8"/>
        <v>0</v>
      </c>
      <c r="L35" s="9">
        <f t="shared" si="8"/>
        <v>0</v>
      </c>
      <c r="M35" s="9">
        <f t="shared" si="8"/>
        <v>0</v>
      </c>
      <c r="N35" s="9">
        <f t="shared" si="8"/>
        <v>0</v>
      </c>
    </row>
    <row r="37" spans="1:18" x14ac:dyDescent="0.2">
      <c r="A37" s="155" t="s">
        <v>261</v>
      </c>
      <c r="B37" s="106">
        <v>0.1</v>
      </c>
    </row>
  </sheetData>
  <sheetProtection selectLockedCells="1"/>
  <mergeCells count="3">
    <mergeCell ref="A2:N2"/>
    <mergeCell ref="A3:N3"/>
    <mergeCell ref="A1:N1"/>
  </mergeCells>
  <phoneticPr fontId="2" type="noConversion"/>
  <pageMargins left="0.75" right="0.75" top="1" bottom="1" header="0.5" footer="0.5"/>
  <pageSetup scale="96"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workbookViewId="0">
      <selection sqref="A1:F1"/>
    </sheetView>
  </sheetViews>
  <sheetFormatPr defaultRowHeight="12.75" x14ac:dyDescent="0.2"/>
  <cols>
    <col min="1" max="1" width="28.140625" bestFit="1" customWidth="1"/>
    <col min="2" max="2" width="14.5703125" customWidth="1"/>
    <col min="3" max="3" width="14.5703125" bestFit="1" customWidth="1"/>
    <col min="4" max="6" width="14.5703125" customWidth="1"/>
    <col min="7" max="7" width="31.5703125" style="60" customWidth="1"/>
    <col min="8" max="26" width="9.140625" style="60"/>
  </cols>
  <sheetData>
    <row r="1" spans="1:26" ht="99.95" customHeight="1" x14ac:dyDescent="0.2">
      <c r="A1" s="191"/>
      <c r="B1" s="191"/>
      <c r="C1" s="191"/>
      <c r="D1" s="191"/>
      <c r="E1" s="191"/>
      <c r="F1" s="191"/>
    </row>
    <row r="2" spans="1:26" s="6" customFormat="1" ht="18" x14ac:dyDescent="0.25">
      <c r="A2" s="188" t="s">
        <v>220</v>
      </c>
      <c r="B2" s="188"/>
      <c r="C2" s="188"/>
      <c r="D2" s="188"/>
      <c r="E2" s="188"/>
      <c r="F2" s="188"/>
      <c r="G2" s="55"/>
      <c r="H2" s="55"/>
      <c r="I2" s="55"/>
      <c r="J2" s="55"/>
      <c r="K2" s="55"/>
      <c r="L2" s="55"/>
      <c r="M2" s="55"/>
      <c r="N2" s="55"/>
      <c r="O2" s="55"/>
      <c r="P2" s="56"/>
      <c r="Q2" s="56"/>
      <c r="R2" s="72"/>
      <c r="S2" s="72"/>
      <c r="T2" s="72"/>
      <c r="U2" s="72"/>
      <c r="V2" s="72"/>
      <c r="W2" s="72"/>
      <c r="X2" s="72"/>
      <c r="Y2" s="72"/>
      <c r="Z2" s="72"/>
    </row>
    <row r="3" spans="1:26" s="57" customFormat="1" ht="18" x14ac:dyDescent="0.25">
      <c r="A3" s="188" t="str">
        <f>CompanyName  &amp; " ("  &amp;ThisYear &amp; IF(StartMonth="Jan",""," - "&amp; ThisYear+1)&amp;")"</f>
        <v>Your Company Name Here (2020 - 2021)</v>
      </c>
      <c r="B3" s="190"/>
      <c r="C3" s="190"/>
      <c r="D3" s="190"/>
      <c r="E3" s="190"/>
      <c r="F3" s="190"/>
      <c r="G3" s="56"/>
      <c r="H3" s="56"/>
      <c r="I3" s="56"/>
      <c r="J3" s="56"/>
      <c r="K3" s="56"/>
      <c r="L3" s="56"/>
      <c r="M3" s="56"/>
      <c r="N3" s="56"/>
      <c r="O3" s="56"/>
      <c r="P3" s="56"/>
      <c r="Q3" s="56"/>
      <c r="R3" s="56"/>
      <c r="S3" s="56"/>
      <c r="T3" s="56"/>
      <c r="U3" s="56"/>
      <c r="V3" s="56"/>
      <c r="W3" s="56"/>
      <c r="X3" s="56"/>
      <c r="Y3" s="56"/>
      <c r="Z3" s="56"/>
    </row>
    <row r="4" spans="1:26" x14ac:dyDescent="0.2">
      <c r="A4" s="1"/>
      <c r="B4" s="1"/>
      <c r="C4" s="1"/>
      <c r="D4" s="1"/>
      <c r="E4" s="1"/>
      <c r="F4" s="1"/>
      <c r="G4" s="60" t="s">
        <v>266</v>
      </c>
    </row>
    <row r="5" spans="1:26" x14ac:dyDescent="0.2">
      <c r="A5" s="1"/>
      <c r="B5" s="1"/>
      <c r="C5" s="1"/>
      <c r="D5" s="1"/>
      <c r="E5" s="1"/>
      <c r="F5" s="1"/>
    </row>
    <row r="6" spans="1:26" x14ac:dyDescent="0.2">
      <c r="A6" s="65" t="s">
        <v>86</v>
      </c>
      <c r="B6" s="101" t="s">
        <v>255</v>
      </c>
      <c r="C6" s="101" t="s">
        <v>256</v>
      </c>
      <c r="D6" s="101" t="s">
        <v>257</v>
      </c>
      <c r="E6" s="101" t="s">
        <v>258</v>
      </c>
      <c r="F6" s="101" t="s">
        <v>259</v>
      </c>
    </row>
    <row r="7" spans="1:26" ht="13.5" thickBot="1" x14ac:dyDescent="0.25">
      <c r="A7" s="64"/>
      <c r="B7" s="76"/>
      <c r="C7" s="76"/>
      <c r="D7" s="76"/>
      <c r="E7" s="76"/>
      <c r="F7" s="76"/>
    </row>
    <row r="8" spans="1:26" x14ac:dyDescent="0.2">
      <c r="A8" s="77" t="s">
        <v>188</v>
      </c>
      <c r="B8" s="78"/>
      <c r="C8" s="78"/>
      <c r="D8" s="78"/>
      <c r="E8" s="78"/>
      <c r="F8" s="78"/>
      <c r="G8" s="79" t="s">
        <v>191</v>
      </c>
    </row>
    <row r="9" spans="1:26" x14ac:dyDescent="0.2">
      <c r="A9" s="1" t="s">
        <v>143</v>
      </c>
      <c r="B9" s="102">
        <v>0</v>
      </c>
      <c r="C9" s="102">
        <v>0</v>
      </c>
      <c r="D9" s="102">
        <v>0</v>
      </c>
      <c r="E9" s="102">
        <v>0</v>
      </c>
      <c r="F9" s="102">
        <v>0</v>
      </c>
      <c r="G9" s="80" t="s">
        <v>192</v>
      </c>
    </row>
    <row r="10" spans="1:26" x14ac:dyDescent="0.2">
      <c r="A10" s="1" t="s">
        <v>144</v>
      </c>
      <c r="B10" s="31"/>
      <c r="C10" s="32"/>
      <c r="D10" s="32"/>
      <c r="E10" s="32"/>
      <c r="F10" s="32"/>
      <c r="G10" s="82" t="s">
        <v>228</v>
      </c>
    </row>
    <row r="11" spans="1:26" x14ac:dyDescent="0.2">
      <c r="A11" s="150" t="s">
        <v>245</v>
      </c>
      <c r="B11" s="102">
        <v>0</v>
      </c>
      <c r="C11" s="102">
        <v>0</v>
      </c>
      <c r="D11" s="102">
        <v>0</v>
      </c>
      <c r="E11" s="102">
        <v>0</v>
      </c>
      <c r="F11" s="102">
        <v>0</v>
      </c>
      <c r="G11" s="81" t="s">
        <v>233</v>
      </c>
    </row>
    <row r="12" spans="1:26" x14ac:dyDescent="0.2">
      <c r="A12" s="1" t="s">
        <v>150</v>
      </c>
      <c r="B12" s="69">
        <f>INT(0.15*B11*100)/100</f>
        <v>0</v>
      </c>
      <c r="C12" s="69">
        <f>INT(0.15*C11*100)/100</f>
        <v>0</v>
      </c>
      <c r="D12" s="69">
        <f>INT(0.15*D11*100)/100</f>
        <v>0</v>
      </c>
      <c r="E12" s="69">
        <f>INT(0.15*E11*100)/100</f>
        <v>0</v>
      </c>
      <c r="F12" s="69">
        <f>INT(0.15*F11*100)/100</f>
        <v>0</v>
      </c>
    </row>
    <row r="13" spans="1:26" x14ac:dyDescent="0.2">
      <c r="A13" s="1" t="s">
        <v>146</v>
      </c>
      <c r="B13" s="102">
        <v>0</v>
      </c>
      <c r="C13" s="102">
        <v>0</v>
      </c>
      <c r="D13" s="102">
        <v>0</v>
      </c>
      <c r="E13" s="102">
        <v>0</v>
      </c>
      <c r="F13" s="102">
        <v>0</v>
      </c>
    </row>
    <row r="14" spans="1:26" x14ac:dyDescent="0.2">
      <c r="A14" s="151" t="s">
        <v>249</v>
      </c>
      <c r="B14" s="102">
        <v>0</v>
      </c>
      <c r="C14" s="102">
        <v>0</v>
      </c>
      <c r="D14" s="102">
        <v>0</v>
      </c>
      <c r="E14" s="102">
        <v>0</v>
      </c>
      <c r="F14" s="102">
        <v>0</v>
      </c>
    </row>
    <row r="15" spans="1:26" x14ac:dyDescent="0.2">
      <c r="A15" s="1" t="s">
        <v>147</v>
      </c>
      <c r="B15" s="69">
        <f>SUM(B11:B14)</f>
        <v>0</v>
      </c>
      <c r="C15" s="69">
        <f>SUM(C11:C14)</f>
        <v>0</v>
      </c>
      <c r="D15" s="69">
        <f>SUM(D11:D14)</f>
        <v>0</v>
      </c>
      <c r="E15" s="69">
        <f>SUM(E11:E14)</f>
        <v>0</v>
      </c>
      <c r="F15" s="69">
        <f>SUM(F11:F14)</f>
        <v>0</v>
      </c>
    </row>
    <row r="16" spans="1:26" x14ac:dyDescent="0.2">
      <c r="A16" s="1" t="s">
        <v>148</v>
      </c>
      <c r="B16" s="70">
        <f>B9-B15</f>
        <v>0</v>
      </c>
      <c r="C16" s="70">
        <f>C9-C15</f>
        <v>0</v>
      </c>
      <c r="D16" s="70">
        <f>D9-D15</f>
        <v>0</v>
      </c>
      <c r="E16" s="70">
        <f>E9-E15</f>
        <v>0</v>
      </c>
      <c r="F16" s="70">
        <f>F9-F15</f>
        <v>0</v>
      </c>
    </row>
    <row r="17" spans="1:7" x14ac:dyDescent="0.2">
      <c r="A17" s="68" t="s">
        <v>149</v>
      </c>
      <c r="B17" s="103">
        <v>50000</v>
      </c>
      <c r="C17" s="103">
        <v>50000</v>
      </c>
      <c r="D17" s="103">
        <v>50000</v>
      </c>
      <c r="E17" s="103">
        <v>50000</v>
      </c>
      <c r="F17" s="103">
        <v>50000</v>
      </c>
      <c r="G17" s="80" t="s">
        <v>232</v>
      </c>
    </row>
    <row r="18" spans="1:7" ht="13.5" thickBot="1" x14ac:dyDescent="0.25">
      <c r="A18" s="63"/>
      <c r="B18" s="63"/>
      <c r="C18" s="63"/>
      <c r="D18" s="63"/>
      <c r="E18" s="63"/>
      <c r="F18" s="63"/>
    </row>
    <row r="19" spans="1:7" x14ac:dyDescent="0.2">
      <c r="A19" s="77" t="s">
        <v>189</v>
      </c>
      <c r="B19" s="78"/>
      <c r="C19" s="78"/>
      <c r="D19" s="78"/>
      <c r="E19" s="78"/>
      <c r="F19" s="78"/>
      <c r="G19" s="79" t="s">
        <v>191</v>
      </c>
    </row>
    <row r="20" spans="1:7" x14ac:dyDescent="0.2">
      <c r="A20" s="1" t="s">
        <v>143</v>
      </c>
      <c r="B20" s="102">
        <v>0</v>
      </c>
      <c r="C20" s="102">
        <v>0</v>
      </c>
      <c r="D20" s="102">
        <v>0</v>
      </c>
      <c r="E20" s="102">
        <v>0</v>
      </c>
      <c r="F20" s="102">
        <v>0</v>
      </c>
      <c r="G20" s="80" t="s">
        <v>192</v>
      </c>
    </row>
    <row r="21" spans="1:7" x14ac:dyDescent="0.2">
      <c r="A21" s="1" t="s">
        <v>144</v>
      </c>
      <c r="B21" s="31"/>
      <c r="C21" s="32"/>
      <c r="D21" s="32"/>
      <c r="E21" s="32"/>
      <c r="F21" s="32"/>
      <c r="G21" s="82" t="s">
        <v>193</v>
      </c>
    </row>
    <row r="22" spans="1:7" x14ac:dyDescent="0.2">
      <c r="A22" s="1" t="s">
        <v>145</v>
      </c>
      <c r="B22" s="102">
        <v>0</v>
      </c>
      <c r="C22" s="102">
        <v>0</v>
      </c>
      <c r="D22" s="102">
        <v>0</v>
      </c>
      <c r="E22" s="102">
        <v>0</v>
      </c>
      <c r="F22" s="102">
        <v>0</v>
      </c>
      <c r="G22" s="82" t="s">
        <v>229</v>
      </c>
    </row>
    <row r="23" spans="1:7" x14ac:dyDescent="0.2">
      <c r="A23" s="1" t="s">
        <v>150</v>
      </c>
      <c r="B23" s="69">
        <f>INT(0.15*B22*100)/100</f>
        <v>0</v>
      </c>
      <c r="C23" s="69">
        <f>INT(0.15*C22*100)/100</f>
        <v>0</v>
      </c>
      <c r="D23" s="69">
        <f>INT(0.15*D22*100)/100</f>
        <v>0</v>
      </c>
      <c r="E23" s="69">
        <f>INT(0.15*E22*100)/100</f>
        <v>0</v>
      </c>
      <c r="F23" s="69">
        <f>INT(0.15*F22*100)/100</f>
        <v>0</v>
      </c>
      <c r="G23" s="81" t="s">
        <v>230</v>
      </c>
    </row>
    <row r="24" spans="1:7" x14ac:dyDescent="0.2">
      <c r="A24" s="1" t="s">
        <v>146</v>
      </c>
      <c r="B24" s="102">
        <v>0</v>
      </c>
      <c r="C24" s="102">
        <v>0</v>
      </c>
      <c r="D24" s="102">
        <v>0</v>
      </c>
      <c r="E24" s="102">
        <v>0</v>
      </c>
      <c r="F24" s="102">
        <v>0</v>
      </c>
    </row>
    <row r="25" spans="1:7" x14ac:dyDescent="0.2">
      <c r="A25" s="150" t="str">
        <f>COGSLastItem</f>
        <v>Freight</v>
      </c>
      <c r="B25" s="102">
        <v>0</v>
      </c>
      <c r="C25" s="102">
        <v>0</v>
      </c>
      <c r="D25" s="102">
        <v>0</v>
      </c>
      <c r="E25" s="102">
        <v>0</v>
      </c>
      <c r="F25" s="102">
        <v>0</v>
      </c>
    </row>
    <row r="26" spans="1:7" x14ac:dyDescent="0.2">
      <c r="A26" s="1" t="s">
        <v>147</v>
      </c>
      <c r="B26" s="69">
        <f>SUM(B22:B25)</f>
        <v>0</v>
      </c>
      <c r="C26" s="69">
        <f>SUM(C22:C25)</f>
        <v>0</v>
      </c>
      <c r="D26" s="69">
        <f>SUM(D22:D25)</f>
        <v>0</v>
      </c>
      <c r="E26" s="69">
        <f>SUM(E22:E25)</f>
        <v>0</v>
      </c>
      <c r="F26" s="69">
        <f>SUM(F22:F25)</f>
        <v>0</v>
      </c>
    </row>
    <row r="27" spans="1:7" x14ac:dyDescent="0.2">
      <c r="A27" s="1" t="s">
        <v>148</v>
      </c>
      <c r="B27" s="70">
        <f>B20-B26</f>
        <v>0</v>
      </c>
      <c r="C27" s="70">
        <f>C20-C26</f>
        <v>0</v>
      </c>
      <c r="D27" s="70">
        <f>D20-D26</f>
        <v>0</v>
      </c>
      <c r="E27" s="70">
        <f>E20-E26</f>
        <v>0</v>
      </c>
      <c r="F27" s="70">
        <f>F20-F26</f>
        <v>0</v>
      </c>
    </row>
    <row r="28" spans="1:7" x14ac:dyDescent="0.2">
      <c r="A28" s="68" t="s">
        <v>149</v>
      </c>
      <c r="B28" s="103">
        <v>200000</v>
      </c>
      <c r="C28" s="103">
        <v>200000</v>
      </c>
      <c r="D28" s="103">
        <v>200000</v>
      </c>
      <c r="E28" s="103">
        <v>200000</v>
      </c>
      <c r="F28" s="103">
        <v>200000</v>
      </c>
      <c r="G28" s="80" t="s">
        <v>231</v>
      </c>
    </row>
    <row r="29" spans="1:7" ht="13.5" thickBot="1" x14ac:dyDescent="0.25">
      <c r="A29" s="63"/>
      <c r="B29" s="63"/>
      <c r="C29" s="63"/>
      <c r="D29" s="63"/>
      <c r="E29" s="63"/>
      <c r="F29" s="63"/>
    </row>
    <row r="30" spans="1:7" x14ac:dyDescent="0.2">
      <c r="A30" s="77" t="s">
        <v>190</v>
      </c>
      <c r="B30" s="78"/>
      <c r="C30" s="78"/>
      <c r="D30" s="78"/>
      <c r="E30" s="78"/>
      <c r="F30" s="78"/>
      <c r="G30" s="79" t="s">
        <v>191</v>
      </c>
    </row>
    <row r="31" spans="1:7" x14ac:dyDescent="0.2">
      <c r="A31" s="1" t="s">
        <v>143</v>
      </c>
      <c r="B31" s="102">
        <v>0</v>
      </c>
      <c r="C31" s="102">
        <v>0</v>
      </c>
      <c r="D31" s="102">
        <v>0</v>
      </c>
      <c r="E31" s="102">
        <v>0</v>
      </c>
      <c r="F31" s="102">
        <v>0</v>
      </c>
      <c r="G31" s="80" t="s">
        <v>192</v>
      </c>
    </row>
    <row r="32" spans="1:7" x14ac:dyDescent="0.2">
      <c r="A32" s="1" t="s">
        <v>144</v>
      </c>
      <c r="B32" s="31"/>
      <c r="C32" s="32"/>
      <c r="D32" s="32"/>
      <c r="E32" s="32"/>
      <c r="F32" s="32"/>
      <c r="G32" s="80" t="s">
        <v>194</v>
      </c>
    </row>
    <row r="33" spans="1:7" x14ac:dyDescent="0.2">
      <c r="A33" s="1" t="s">
        <v>145</v>
      </c>
      <c r="B33" s="102">
        <v>0</v>
      </c>
      <c r="C33" s="102">
        <v>0</v>
      </c>
      <c r="D33" s="102">
        <v>0</v>
      </c>
      <c r="E33" s="102">
        <v>0</v>
      </c>
      <c r="F33" s="102">
        <v>0</v>
      </c>
      <c r="G33" s="81" t="s">
        <v>234</v>
      </c>
    </row>
    <row r="34" spans="1:7" x14ac:dyDescent="0.2">
      <c r="A34" s="1" t="s">
        <v>150</v>
      </c>
      <c r="B34" s="69">
        <f>INT(0.15*B33*100)/100</f>
        <v>0</v>
      </c>
      <c r="C34" s="69">
        <f>INT(0.15*C33*100)/100</f>
        <v>0</v>
      </c>
      <c r="D34" s="69">
        <f>INT(0.15*D33*100)/100</f>
        <v>0</v>
      </c>
      <c r="E34" s="69">
        <f>INT(0.15*E33*100)/100</f>
        <v>0</v>
      </c>
      <c r="F34" s="69">
        <f>INT(0.15*F33*100)/100</f>
        <v>0</v>
      </c>
    </row>
    <row r="35" spans="1:7" x14ac:dyDescent="0.2">
      <c r="A35" s="1" t="s">
        <v>146</v>
      </c>
      <c r="B35" s="102">
        <v>0</v>
      </c>
      <c r="C35" s="102">
        <v>0</v>
      </c>
      <c r="D35" s="102">
        <v>0</v>
      </c>
      <c r="E35" s="102">
        <v>0</v>
      </c>
      <c r="F35" s="102">
        <v>0</v>
      </c>
    </row>
    <row r="36" spans="1:7" x14ac:dyDescent="0.2">
      <c r="A36" s="150" t="str">
        <f>COGSLastItem</f>
        <v>Freight</v>
      </c>
      <c r="B36" s="102">
        <v>0</v>
      </c>
      <c r="C36" s="102">
        <v>0</v>
      </c>
      <c r="D36" s="102">
        <v>0</v>
      </c>
      <c r="E36" s="102">
        <v>0</v>
      </c>
      <c r="F36" s="102">
        <v>0</v>
      </c>
    </row>
    <row r="37" spans="1:7" x14ac:dyDescent="0.2">
      <c r="A37" s="1" t="s">
        <v>147</v>
      </c>
      <c r="B37" s="69">
        <f>SUM(B33:B36)</f>
        <v>0</v>
      </c>
      <c r="C37" s="69">
        <f>SUM(C33:C36)</f>
        <v>0</v>
      </c>
      <c r="D37" s="69">
        <f>SUM(D33:D36)</f>
        <v>0</v>
      </c>
      <c r="E37" s="69">
        <f>SUM(E33:E36)</f>
        <v>0</v>
      </c>
      <c r="F37" s="69">
        <f>SUM(F33:F36)</f>
        <v>0</v>
      </c>
    </row>
    <row r="38" spans="1:7" x14ac:dyDescent="0.2">
      <c r="A38" s="1" t="s">
        <v>148</v>
      </c>
      <c r="B38" s="70">
        <f>B31-B37</f>
        <v>0</v>
      </c>
      <c r="C38" s="70">
        <f>C31-C37</f>
        <v>0</v>
      </c>
      <c r="D38" s="70">
        <f>D31-D37</f>
        <v>0</v>
      </c>
      <c r="E38" s="70">
        <f>E31-E37</f>
        <v>0</v>
      </c>
      <c r="F38" s="70">
        <f>F31-F37</f>
        <v>0</v>
      </c>
    </row>
    <row r="41" spans="1:7" x14ac:dyDescent="0.2">
      <c r="A41" s="6"/>
    </row>
  </sheetData>
  <mergeCells count="3">
    <mergeCell ref="A2:F2"/>
    <mergeCell ref="A3:F3"/>
    <mergeCell ref="A1:F1"/>
  </mergeCells>
  <phoneticPr fontId="2" type="noConversion"/>
  <pageMargins left="0.75" right="0.75" top="1" bottom="1" header="0.5" footer="0.5"/>
  <pageSetup scale="68"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workbookViewId="0">
      <selection sqref="A1:N1"/>
    </sheetView>
  </sheetViews>
  <sheetFormatPr defaultRowHeight="12.75" x14ac:dyDescent="0.2"/>
  <cols>
    <col min="1" max="1" width="20.85546875" style="6" bestFit="1" customWidth="1"/>
    <col min="2" max="2" width="7.7109375" style="6" bestFit="1" customWidth="1"/>
    <col min="3" max="11" width="8.5703125" style="6" customWidth="1"/>
    <col min="12" max="13" width="8.7109375" style="6" bestFit="1" customWidth="1"/>
    <col min="14" max="14" width="10.7109375" style="6" bestFit="1" customWidth="1"/>
    <col min="15" max="16" width="9.140625" style="6" hidden="1" customWidth="1"/>
    <col min="17" max="16384" width="9.140625" style="6"/>
  </cols>
  <sheetData>
    <row r="1" spans="1:26" ht="99.95" customHeight="1" x14ac:dyDescent="0.2">
      <c r="A1" s="193"/>
      <c r="B1" s="193"/>
      <c r="C1" s="193"/>
      <c r="D1" s="193"/>
      <c r="E1" s="193"/>
      <c r="F1" s="193"/>
      <c r="G1" s="193"/>
      <c r="H1" s="193"/>
      <c r="I1" s="193"/>
      <c r="J1" s="193"/>
      <c r="K1" s="193"/>
      <c r="L1" s="193"/>
      <c r="M1" s="193"/>
      <c r="N1" s="193"/>
    </row>
    <row r="2" spans="1:26" ht="18" x14ac:dyDescent="0.25">
      <c r="A2" s="188" t="s">
        <v>180</v>
      </c>
      <c r="B2" s="188"/>
      <c r="C2" s="188"/>
      <c r="D2" s="188"/>
      <c r="E2" s="188"/>
      <c r="F2" s="188"/>
      <c r="G2" s="188"/>
      <c r="H2" s="188"/>
      <c r="I2" s="188"/>
      <c r="J2" s="188"/>
      <c r="K2" s="188"/>
      <c r="L2" s="188"/>
      <c r="M2" s="188"/>
      <c r="N2" s="188"/>
    </row>
    <row r="3" spans="1:26" s="57" customFormat="1" ht="18" x14ac:dyDescent="0.25">
      <c r="A3" s="188" t="str">
        <f>CompanyHeader</f>
        <v>Your Company Name Here (2020 - 2021)</v>
      </c>
      <c r="B3" s="190"/>
      <c r="C3" s="190"/>
      <c r="D3" s="190"/>
      <c r="E3" s="190"/>
      <c r="F3" s="190"/>
      <c r="G3" s="190"/>
      <c r="H3" s="190"/>
      <c r="I3" s="190"/>
      <c r="J3" s="190"/>
      <c r="K3" s="190"/>
      <c r="L3" s="190"/>
      <c r="M3" s="190"/>
      <c r="N3" s="190"/>
      <c r="O3" s="56"/>
      <c r="P3" s="56"/>
      <c r="Q3" s="56"/>
      <c r="R3" s="56"/>
      <c r="S3" s="56"/>
      <c r="T3" s="56"/>
      <c r="U3" s="56"/>
      <c r="V3" s="56"/>
      <c r="W3" s="56"/>
      <c r="X3" s="56"/>
      <c r="Y3" s="56"/>
      <c r="Z3" s="56"/>
    </row>
    <row r="4" spans="1:26" x14ac:dyDescent="0.2">
      <c r="A4" s="7"/>
      <c r="B4" s="7"/>
      <c r="C4" s="7"/>
      <c r="D4" s="7"/>
      <c r="E4" s="7"/>
      <c r="F4" s="7"/>
      <c r="G4" s="7"/>
      <c r="H4" s="7"/>
      <c r="I4" s="7"/>
      <c r="J4" s="7"/>
      <c r="K4" s="7"/>
      <c r="L4" s="7"/>
      <c r="M4" s="7"/>
      <c r="N4" s="7"/>
    </row>
    <row r="5" spans="1:26" x14ac:dyDescent="0.2">
      <c r="A5" s="11"/>
      <c r="B5" s="11" t="str">
        <f>Month1</f>
        <v>Jul</v>
      </c>
      <c r="C5" s="11" t="str">
        <f>Month2</f>
        <v>Aug</v>
      </c>
      <c r="D5" s="11" t="str">
        <f>Month3</f>
        <v>Sep</v>
      </c>
      <c r="E5" s="11" t="str">
        <f>Month4</f>
        <v>Oct</v>
      </c>
      <c r="F5" s="11" t="str">
        <f>Month5</f>
        <v>Nov</v>
      </c>
      <c r="G5" s="11" t="str">
        <f>Month6</f>
        <v>Dec</v>
      </c>
      <c r="H5" s="11" t="str">
        <f>Month7</f>
        <v>Jan</v>
      </c>
      <c r="I5" s="11" t="str">
        <f>Month8</f>
        <v>Feb</v>
      </c>
      <c r="J5" s="11" t="str">
        <f>Month9</f>
        <v>Mar</v>
      </c>
      <c r="K5" s="11" t="str">
        <f>Month10</f>
        <v>Apr</v>
      </c>
      <c r="L5" s="11" t="str">
        <f>Month11</f>
        <v>May</v>
      </c>
      <c r="M5" s="11" t="str">
        <f>Month12</f>
        <v>Jun</v>
      </c>
      <c r="N5" s="11" t="s">
        <v>23</v>
      </c>
      <c r="O5" s="6" t="s">
        <v>10</v>
      </c>
      <c r="P5" s="6" t="s">
        <v>11</v>
      </c>
    </row>
    <row r="6" spans="1:26" x14ac:dyDescent="0.2">
      <c r="A6" s="109" t="str">
        <f>IF(Line1Name="","",Line1Name)</f>
        <v>Product #1</v>
      </c>
      <c r="B6" s="36">
        <v>0</v>
      </c>
      <c r="C6" s="36">
        <v>0</v>
      </c>
      <c r="D6" s="36">
        <v>0</v>
      </c>
      <c r="E6" s="36">
        <v>0</v>
      </c>
      <c r="F6" s="36">
        <v>0</v>
      </c>
      <c r="G6" s="36">
        <v>0</v>
      </c>
      <c r="H6" s="36">
        <v>0</v>
      </c>
      <c r="I6" s="36">
        <v>0</v>
      </c>
      <c r="J6" s="36">
        <v>0</v>
      </c>
      <c r="K6" s="36">
        <v>0</v>
      </c>
      <c r="L6" s="36">
        <v>0</v>
      </c>
      <c r="M6" s="36">
        <v>0</v>
      </c>
      <c r="N6" s="35">
        <f t="shared" ref="N6:N12" si="0">SUM(B6:M6)</f>
        <v>0</v>
      </c>
      <c r="O6" s="8">
        <f t="shared" ref="O6:O11" si="1">SUM(H6:J6)</f>
        <v>0</v>
      </c>
      <c r="P6" s="8">
        <f t="shared" ref="P6:P11" si="2">SUM(K6:M6)</f>
        <v>0</v>
      </c>
    </row>
    <row r="7" spans="1:26" x14ac:dyDescent="0.2">
      <c r="A7" s="109" t="str">
        <f>IF(Line2Name="","",Line2Name)</f>
        <v>Product #2</v>
      </c>
      <c r="B7" s="36">
        <v>0</v>
      </c>
      <c r="C7" s="36">
        <v>0</v>
      </c>
      <c r="D7" s="36">
        <v>0</v>
      </c>
      <c r="E7" s="36">
        <v>0</v>
      </c>
      <c r="F7" s="36">
        <v>0</v>
      </c>
      <c r="G7" s="36">
        <v>0</v>
      </c>
      <c r="H7" s="36">
        <v>0</v>
      </c>
      <c r="I7" s="36">
        <v>0</v>
      </c>
      <c r="J7" s="36">
        <v>0</v>
      </c>
      <c r="K7" s="36">
        <v>0</v>
      </c>
      <c r="L7" s="36">
        <v>0</v>
      </c>
      <c r="M7" s="36">
        <v>0</v>
      </c>
      <c r="N7" s="35">
        <f t="shared" si="0"/>
        <v>0</v>
      </c>
      <c r="O7" s="8">
        <f t="shared" si="1"/>
        <v>0</v>
      </c>
      <c r="P7" s="8">
        <f t="shared" si="2"/>
        <v>0</v>
      </c>
    </row>
    <row r="8" spans="1:26" x14ac:dyDescent="0.2">
      <c r="A8" s="109" t="str">
        <f>IF(Line3Name="","",Line3Name)</f>
        <v>Product #3</v>
      </c>
      <c r="B8" s="36">
        <v>0</v>
      </c>
      <c r="C8" s="36">
        <v>0</v>
      </c>
      <c r="D8" s="36">
        <v>0</v>
      </c>
      <c r="E8" s="36">
        <v>0</v>
      </c>
      <c r="F8" s="36">
        <v>0</v>
      </c>
      <c r="G8" s="36">
        <v>0</v>
      </c>
      <c r="H8" s="36">
        <v>0</v>
      </c>
      <c r="I8" s="36">
        <v>0</v>
      </c>
      <c r="J8" s="36">
        <v>0</v>
      </c>
      <c r="K8" s="36">
        <v>0</v>
      </c>
      <c r="L8" s="36">
        <v>0</v>
      </c>
      <c r="M8" s="36">
        <v>0</v>
      </c>
      <c r="N8" s="35">
        <f t="shared" si="0"/>
        <v>0</v>
      </c>
      <c r="O8" s="8">
        <f t="shared" si="1"/>
        <v>0</v>
      </c>
      <c r="P8" s="8">
        <f t="shared" si="2"/>
        <v>0</v>
      </c>
    </row>
    <row r="9" spans="1:26" x14ac:dyDescent="0.2">
      <c r="A9" s="109" t="str">
        <f>IF(Line4Name="","",Line4Name)</f>
        <v>Product #4</v>
      </c>
      <c r="B9" s="36">
        <v>0</v>
      </c>
      <c r="C9" s="36">
        <v>0</v>
      </c>
      <c r="D9" s="36">
        <v>0</v>
      </c>
      <c r="E9" s="36">
        <v>0</v>
      </c>
      <c r="F9" s="36">
        <v>0</v>
      </c>
      <c r="G9" s="36">
        <v>0</v>
      </c>
      <c r="H9" s="36">
        <v>0</v>
      </c>
      <c r="I9" s="36">
        <v>0</v>
      </c>
      <c r="J9" s="36">
        <v>0</v>
      </c>
      <c r="K9" s="36">
        <v>0</v>
      </c>
      <c r="L9" s="36">
        <v>0</v>
      </c>
      <c r="M9" s="36">
        <v>0</v>
      </c>
      <c r="N9" s="35">
        <f t="shared" si="0"/>
        <v>0</v>
      </c>
      <c r="O9" s="8">
        <f t="shared" si="1"/>
        <v>0</v>
      </c>
      <c r="P9" s="8">
        <f t="shared" si="2"/>
        <v>0</v>
      </c>
    </row>
    <row r="10" spans="1:26" x14ac:dyDescent="0.2">
      <c r="A10" s="109" t="str">
        <f>IF(Line5Name="","",Line5Name)</f>
        <v>Product #5</v>
      </c>
      <c r="B10" s="36">
        <v>0</v>
      </c>
      <c r="C10" s="36">
        <v>0</v>
      </c>
      <c r="D10" s="36">
        <v>0</v>
      </c>
      <c r="E10" s="36">
        <v>0</v>
      </c>
      <c r="F10" s="36">
        <v>0</v>
      </c>
      <c r="G10" s="36">
        <v>0</v>
      </c>
      <c r="H10" s="36">
        <v>0</v>
      </c>
      <c r="I10" s="36">
        <v>0</v>
      </c>
      <c r="J10" s="36">
        <v>0</v>
      </c>
      <c r="K10" s="36">
        <v>0</v>
      </c>
      <c r="L10" s="36">
        <v>0</v>
      </c>
      <c r="M10" s="36">
        <v>0</v>
      </c>
      <c r="N10" s="35">
        <f t="shared" si="0"/>
        <v>0</v>
      </c>
      <c r="O10" s="8">
        <f t="shared" si="1"/>
        <v>0</v>
      </c>
      <c r="P10" s="8">
        <f t="shared" si="2"/>
        <v>0</v>
      </c>
    </row>
    <row r="11" spans="1:26" x14ac:dyDescent="0.2">
      <c r="A11" s="29" t="s">
        <v>87</v>
      </c>
      <c r="B11" s="30">
        <f>SUM(B6:B10)</f>
        <v>0</v>
      </c>
      <c r="C11" s="30">
        <f t="shared" ref="C11:K11" si="3">SUM(C6:C10)</f>
        <v>0</v>
      </c>
      <c r="D11" s="30">
        <f t="shared" si="3"/>
        <v>0</v>
      </c>
      <c r="E11" s="30">
        <f t="shared" si="3"/>
        <v>0</v>
      </c>
      <c r="F11" s="30">
        <f t="shared" si="3"/>
        <v>0</v>
      </c>
      <c r="G11" s="30">
        <f t="shared" si="3"/>
        <v>0</v>
      </c>
      <c r="H11" s="30">
        <f t="shared" si="3"/>
        <v>0</v>
      </c>
      <c r="I11" s="30">
        <f t="shared" si="3"/>
        <v>0</v>
      </c>
      <c r="J11" s="30">
        <f t="shared" si="3"/>
        <v>0</v>
      </c>
      <c r="K11" s="30">
        <f t="shared" si="3"/>
        <v>0</v>
      </c>
      <c r="L11" s="30">
        <f>SUM(L6:L10)</f>
        <v>0</v>
      </c>
      <c r="M11" s="30">
        <f>SUM(M6:M10)</f>
        <v>0</v>
      </c>
      <c r="N11" s="30">
        <f t="shared" si="0"/>
        <v>0</v>
      </c>
      <c r="O11" s="8">
        <f t="shared" si="1"/>
        <v>0</v>
      </c>
      <c r="P11" s="8">
        <f t="shared" si="2"/>
        <v>0</v>
      </c>
    </row>
    <row r="12" spans="1:26" x14ac:dyDescent="0.2">
      <c r="A12" s="7" t="s">
        <v>99</v>
      </c>
      <c r="B12" s="26">
        <f>JanLine1Price*B$6+JanLine2Price*B$7+JanLine3Price*B$8+JanLine4Price*B$9+JanLine5Price*B$10</f>
        <v>0</v>
      </c>
      <c r="C12" s="26">
        <f>FebLine1Price*C$6+FebLine2Price*C$7+FebLine3Price*C$8+FebLine4Price*C$9+FebLine5Price*C$10</f>
        <v>0</v>
      </c>
      <c r="D12" s="26">
        <f>MarLine1Price*D$6+MarLine2Price*D$7+MarLine3Price*D$8+MarLine4Price*D$9+MarLine5Price*D$10</f>
        <v>0</v>
      </c>
      <c r="E12" s="26">
        <f>AprLine1Price*E$6+AprLine2Price*E$7+AprLine3Price*E$8+AprLine4Price*E$9+AprLine5Price*E$10</f>
        <v>0</v>
      </c>
      <c r="F12" s="26">
        <f>MayLine1Price*F$6+MayLine2Price*F$7+MayLine3Price*F$8+MayLine4Price*F$9+MayLine5Price*F$10</f>
        <v>0</v>
      </c>
      <c r="G12" s="26">
        <f>JunLine1Price*G$6+JunLine2Price*G$7+JunLine3Price*G$8+JunLine4Price*G$9+JunLine5Price*G$10</f>
        <v>0</v>
      </c>
      <c r="H12" s="26">
        <f>JulLine1Price*H$6+JulLine2Price*H$7+JulLine3Price*H$8+JulLine4Price*H$9+JulLine5Price*H$10</f>
        <v>0</v>
      </c>
      <c r="I12" s="26">
        <f>AugLine1Price*I$6+AugLine2Price*I$7+AugLine3Price*I$8+AugLine4Price*I$9+AugLine5Price*I$10</f>
        <v>0</v>
      </c>
      <c r="J12" s="26">
        <f>SepLine1Price*J$6+SepLine2Price*J$7+SepLine3Price*J$8+SepLine4Price*J$9+SepLine5Price*J$10</f>
        <v>0</v>
      </c>
      <c r="K12" s="26">
        <f>OctLine1Price*K$6+OctLine2Price*K$7+OctLine3Price*K$8+OctLine4Price*K$9+OctLine5Price*K$10</f>
        <v>0</v>
      </c>
      <c r="L12" s="26">
        <f>NovLine1Price*L$6+NovLine2Price*L$7+NovLine3Price*L$8+NovLine4Price*L$9+NovLine5Price*L$10</f>
        <v>0</v>
      </c>
      <c r="M12" s="26">
        <f>DecLine1Price*M$6+DecLine2Price*M$7+DecLine3Price*M$8+DecLine4Price*M$9+DecLine5Price*M$10</f>
        <v>0</v>
      </c>
      <c r="N12" s="26">
        <f t="shared" si="0"/>
        <v>0</v>
      </c>
    </row>
    <row r="13" spans="1:26" x14ac:dyDescent="0.2">
      <c r="A13" s="7" t="s">
        <v>157</v>
      </c>
      <c r="B13" s="26">
        <f t="shared" ref="B13:N13" si="4">INT(ReturnRate*B12)</f>
        <v>0</v>
      </c>
      <c r="C13" s="26">
        <f t="shared" si="4"/>
        <v>0</v>
      </c>
      <c r="D13" s="26">
        <f t="shared" si="4"/>
        <v>0</v>
      </c>
      <c r="E13" s="26">
        <f t="shared" si="4"/>
        <v>0</v>
      </c>
      <c r="F13" s="26">
        <f t="shared" si="4"/>
        <v>0</v>
      </c>
      <c r="G13" s="26">
        <f t="shared" si="4"/>
        <v>0</v>
      </c>
      <c r="H13" s="26">
        <f t="shared" si="4"/>
        <v>0</v>
      </c>
      <c r="I13" s="26">
        <f t="shared" si="4"/>
        <v>0</v>
      </c>
      <c r="J13" s="26">
        <f t="shared" si="4"/>
        <v>0</v>
      </c>
      <c r="K13" s="26">
        <f t="shared" si="4"/>
        <v>0</v>
      </c>
      <c r="L13" s="26">
        <f t="shared" si="4"/>
        <v>0</v>
      </c>
      <c r="M13" s="26">
        <f t="shared" si="4"/>
        <v>0</v>
      </c>
      <c r="N13" s="26">
        <f t="shared" si="4"/>
        <v>0</v>
      </c>
    </row>
    <row r="14" spans="1:26" x14ac:dyDescent="0.2">
      <c r="A14" s="7" t="s">
        <v>156</v>
      </c>
      <c r="B14" s="26">
        <f>B12-B13</f>
        <v>0</v>
      </c>
      <c r="C14" s="26">
        <f t="shared" ref="C14:N14" si="5">C12-C13</f>
        <v>0</v>
      </c>
      <c r="D14" s="26">
        <f t="shared" si="5"/>
        <v>0</v>
      </c>
      <c r="E14" s="26">
        <f t="shared" si="5"/>
        <v>0</v>
      </c>
      <c r="F14" s="26">
        <f t="shared" si="5"/>
        <v>0</v>
      </c>
      <c r="G14" s="26">
        <f t="shared" si="5"/>
        <v>0</v>
      </c>
      <c r="H14" s="26">
        <f t="shared" si="5"/>
        <v>0</v>
      </c>
      <c r="I14" s="26">
        <f t="shared" si="5"/>
        <v>0</v>
      </c>
      <c r="J14" s="26">
        <f t="shared" si="5"/>
        <v>0</v>
      </c>
      <c r="K14" s="26">
        <f t="shared" si="5"/>
        <v>0</v>
      </c>
      <c r="L14" s="26">
        <f t="shared" si="5"/>
        <v>0</v>
      </c>
      <c r="M14" s="26">
        <f t="shared" si="5"/>
        <v>0</v>
      </c>
      <c r="N14" s="26">
        <f t="shared" si="5"/>
        <v>0</v>
      </c>
    </row>
    <row r="15" spans="1:26" x14ac:dyDescent="0.2">
      <c r="A15" s="7"/>
      <c r="B15" s="26"/>
      <c r="C15" s="26"/>
      <c r="D15" s="26"/>
      <c r="E15" s="26"/>
      <c r="F15" s="26"/>
      <c r="G15" s="26"/>
      <c r="H15" s="26"/>
      <c r="I15" s="26"/>
      <c r="J15" s="26"/>
      <c r="K15" s="26"/>
      <c r="L15" s="26"/>
      <c r="M15" s="26"/>
      <c r="N15" s="26"/>
    </row>
    <row r="16" spans="1:26" x14ac:dyDescent="0.2">
      <c r="A16" s="152" t="s">
        <v>246</v>
      </c>
      <c r="B16" s="26">
        <f>JanLine1Labor*B$6+JanLine2Labor*B$7+JanLine3Labor*B$8+JanLine4Labor*B$9+JanLine5Labor*B$10</f>
        <v>0</v>
      </c>
      <c r="C16" s="26">
        <f>FebLine1Labor*C$6+FebLine2Labor*C$7+FebLine3Labor*C$8+FebLine4Labor*C$9+FebLine5Labor*C$10</f>
        <v>0</v>
      </c>
      <c r="D16" s="26">
        <f>MarLine1Labor*D$6+MarLine2Labor*D$7+MarLine3Labor*D$8+MarLine4Labor*D$9+MarLine5Labor*D$10</f>
        <v>0</v>
      </c>
      <c r="E16" s="26">
        <f>AprLine1Labor*E$6+AprLine2Labor*E$7+AprLine3Labor*E$8+AprLine4Labor*E$9+AprLine5Labor*E$10</f>
        <v>0</v>
      </c>
      <c r="F16" s="26">
        <f>MayLine1Labor*F$6+MayLine2Labor*F$7+MayLine3Labor*F$8+MayLine4Labor*F$9+MayLine5Labor*F$10</f>
        <v>0</v>
      </c>
      <c r="G16" s="26">
        <f>JunLine1Labor*G$6+JunLine2Labor*G$7+JunLine3Labor*G$8+JunLine4Labor*G$9+JunLine5Labor*G$10</f>
        <v>0</v>
      </c>
      <c r="H16" s="26">
        <f>JulLine1Labor*H$6+JulLine2Labor*H$7+JulLine3Labor*H$8+JulLine4Labor*H$9+JulLine5Labor*H$10</f>
        <v>0</v>
      </c>
      <c r="I16" s="26">
        <f>AugLine1Labor*I$6+AugLine2Labor*I$7+AugLine3Labor*I$8+AugLine4Labor*I$9+AugLine5Labor*I$10</f>
        <v>0</v>
      </c>
      <c r="J16" s="26">
        <f>SepLine1Labor*J$6+SepLine2Labor*J$7+SepLine3Labor*J$8+SepLine4Labor*J$9+SepLine5Labor*J$10</f>
        <v>0</v>
      </c>
      <c r="K16" s="26">
        <f>OctLine1Labor*K$6+OctLine2Labor*K$7+OctLine3Labor*K$8+OctLine4Labor*K$9+OctLine5Labor*K$10</f>
        <v>0</v>
      </c>
      <c r="L16" s="26">
        <f>NovLine1Labor*L$6+NovLine2Labor*L$7+NovLine3Labor*L$8+NovLine4Labor*L$9+NovLine5Labor*L$10</f>
        <v>0</v>
      </c>
      <c r="M16" s="26">
        <f>DecLine1Labor*M$6+DecLine2Labor*M$7+DecLine3Labor*M$8+DecLine4Labor*M$9+DecLine5Labor*M$10</f>
        <v>0</v>
      </c>
      <c r="N16" s="26">
        <f t="shared" ref="N16:N21" si="6">SUM(B16:M16)</f>
        <v>0</v>
      </c>
    </row>
    <row r="17" spans="1:14" x14ac:dyDescent="0.2">
      <c r="A17" s="152" t="s">
        <v>247</v>
      </c>
      <c r="B17" s="31">
        <f>INT(0.15*B16*100)/100</f>
        <v>0</v>
      </c>
      <c r="C17" s="31">
        <f t="shared" ref="C17:M17" si="7">INT(0.15*C16*100)/100</f>
        <v>0</v>
      </c>
      <c r="D17" s="31">
        <f t="shared" si="7"/>
        <v>0</v>
      </c>
      <c r="E17" s="31">
        <f t="shared" si="7"/>
        <v>0</v>
      </c>
      <c r="F17" s="31">
        <f t="shared" si="7"/>
        <v>0</v>
      </c>
      <c r="G17" s="31">
        <f t="shared" si="7"/>
        <v>0</v>
      </c>
      <c r="H17" s="31">
        <f t="shared" si="7"/>
        <v>0</v>
      </c>
      <c r="I17" s="31">
        <f t="shared" si="7"/>
        <v>0</v>
      </c>
      <c r="J17" s="31">
        <f t="shared" si="7"/>
        <v>0</v>
      </c>
      <c r="K17" s="31">
        <f t="shared" si="7"/>
        <v>0</v>
      </c>
      <c r="L17" s="31">
        <f t="shared" si="7"/>
        <v>0</v>
      </c>
      <c r="M17" s="31">
        <f t="shared" si="7"/>
        <v>0</v>
      </c>
      <c r="N17" s="26">
        <f t="shared" si="6"/>
        <v>0</v>
      </c>
    </row>
    <row r="18" spans="1:14" x14ac:dyDescent="0.2">
      <c r="A18" s="152" t="s">
        <v>248</v>
      </c>
      <c r="B18" s="26">
        <f>JanLine1Mat*B$6+JanLine2Mat*B$7+JanLine3Mat*B$8+JanLine4Mat*B$9+JanLine5Mat*B$10</f>
        <v>0</v>
      </c>
      <c r="C18" s="26">
        <f>FebLine1Mat*C$6+FebLine2Mat*C$7+FebLine3Mat*C$8+FebLine4Mat*C$9+FebLine5Mat*C$10</f>
        <v>0</v>
      </c>
      <c r="D18" s="26">
        <f>MarLine1Mat*D$6+MarLine2Mat*D$7+MarLine3Mat*D$8+MarLine4Mat*D$9+MarLine5Mat*D$10</f>
        <v>0</v>
      </c>
      <c r="E18" s="26">
        <f>AprLine1Mat*E$6+AprLine2Mat*E$7+AprLine3Mat*E$8+AprLine4Mat*E$9+AprLine5Mat*E$10</f>
        <v>0</v>
      </c>
      <c r="F18" s="26">
        <f>MayLine1Mat*F$6+MayLine2Mat*F$7+MayLine3Mat*F$8+MayLine4Mat*F$9+MayLine5Mat*F$10</f>
        <v>0</v>
      </c>
      <c r="G18" s="26">
        <f>JunLine1Mat*G$6+JunLine2Mat*G$7+JunLine3Mat*G$8+JunLine4Mat*G$9+JunLine5Mat*G$10</f>
        <v>0</v>
      </c>
      <c r="H18" s="26">
        <f>JulLine1Mat*H$6+JulLine2Mat*H$7+JulLine3Mat*H$8+JulLine4Mat*H$9+JulLine5Mat*H$10</f>
        <v>0</v>
      </c>
      <c r="I18" s="26">
        <f>AugLine1Mat*I$6+AugLine2Mat*I$7+AugLine3Mat*I$8+AugLine4Mat*I$9+AugLine5Mat*I$10</f>
        <v>0</v>
      </c>
      <c r="J18" s="26">
        <f>SepLine1Mat*J$6+SepLine2Mat*J$7+SepLine3Mat*J$8+SepLine4Mat*J$9+SepLine5Mat*J$10</f>
        <v>0</v>
      </c>
      <c r="K18" s="26">
        <f>OctLine1Mat*K$6+OctLine2Mat*K$7+OctLine3Mat*K$8+OctLine4Mat*K$9+OctLine5Mat*K$10</f>
        <v>0</v>
      </c>
      <c r="L18" s="26">
        <f>NovLine1Mat*L$6+NovLine2Mat*L$7+NovLine3Mat*L$8+NovLine4Mat*L$9+NovLine5Mat*L$10</f>
        <v>0</v>
      </c>
      <c r="M18" s="26">
        <f>DecLine1Mat*M$6+DecLine2Mat*M$7+DecLine3Mat*M$8+DecLine4Mat*M$9+DecLine5Mat*M$10</f>
        <v>0</v>
      </c>
      <c r="N18" s="26">
        <f t="shared" si="6"/>
        <v>0</v>
      </c>
    </row>
    <row r="19" spans="1:14" x14ac:dyDescent="0.2">
      <c r="A19" s="152" t="str">
        <f>"COGS: " &amp; COGSLastItem</f>
        <v>COGS: Freight</v>
      </c>
      <c r="B19" s="26">
        <f>JanLine1Freight*B$6+JanLine2Freight*B$7+JanLine3Freight*B$8+JanLine4Freight*B$9+JanLine5Freight*B$10</f>
        <v>0</v>
      </c>
      <c r="C19" s="26">
        <f>FebLine1Freight*C$6+FebLine2Freight*C$7+FebLine3Freight*C$8+FebLine4Freight*C$9+FebLine5Freight*C$10</f>
        <v>0</v>
      </c>
      <c r="D19" s="26">
        <f>MarLine1Freight*D$6+MarLine2Freight*D$7+MarLine3Freight*D$8+MarLine4Freight*D$9+MarLine5Freight*D$10</f>
        <v>0</v>
      </c>
      <c r="E19" s="26">
        <f>AprLine1Freight*E$6+AprLine2Freight*E$7+AprLine3Freight*E$8+AprLine4Freight*E$9+AprLine5Freight*E$10</f>
        <v>0</v>
      </c>
      <c r="F19" s="26">
        <f>MayLine1Freight*F$6+MayLine2Freight*F$7+MayLine3Freight*F$8+MayLine4Freight*F$9+MayLine5Freight*F$10</f>
        <v>0</v>
      </c>
      <c r="G19" s="26">
        <f>JunLine1Freight*G$6+JunLine2Freight*G$7+JunLine3Freight*G$8+JunLine4Freight*G$9+JunLine5Freight*G$10</f>
        <v>0</v>
      </c>
      <c r="H19" s="26">
        <f>JulLine1Freight*H$6+JulLine2Freight*H$7+JulLine3Freight*H$8+JulLine4Freight*H$9+JulLine5Freight*H$10</f>
        <v>0</v>
      </c>
      <c r="I19" s="26">
        <f>AugLine1Freight*I$6+AugLine2Freight*I$7+AugLine3Freight*I$8+AugLine4Freight*I$9+AugLine5Freight*I$10</f>
        <v>0</v>
      </c>
      <c r="J19" s="26">
        <f>SepLine1Freight*J$6+SepLine2Freight*J$7+SepLine3Freight*J$8+SepLine4Freight*J$9+SepLine5Freight*J$10</f>
        <v>0</v>
      </c>
      <c r="K19" s="26">
        <f>OctLine1Freight*K$6+OctLine2Freight*K$7+OctLine3Freight*K$8+OctLine4Freight*K$9+OctLine5Freight*K$10</f>
        <v>0</v>
      </c>
      <c r="L19" s="26">
        <f>NovLine1Freight*L$6+NovLine2Freight*L$7+NovLine3Freight*L$8+NovLine4Freight*L$9+NovLine5Freight*L$10</f>
        <v>0</v>
      </c>
      <c r="M19" s="26">
        <f>DecLine1Freight*M$6+DecLine2Freight*M$7+DecLine3Freight*M$8+DecLine4Freight*M$9+DecLine5Freight*M$10</f>
        <v>0</v>
      </c>
      <c r="N19" s="26">
        <f t="shared" si="6"/>
        <v>0</v>
      </c>
    </row>
    <row r="20" spans="1:14" x14ac:dyDescent="0.2">
      <c r="A20" s="7" t="s">
        <v>78</v>
      </c>
      <c r="B20" s="26">
        <f>SUM(B16:B19)</f>
        <v>0</v>
      </c>
      <c r="C20" s="26">
        <f t="shared" ref="C20:M20" si="8">SUM(C16:C19)</f>
        <v>0</v>
      </c>
      <c r="D20" s="26">
        <f t="shared" si="8"/>
        <v>0</v>
      </c>
      <c r="E20" s="26">
        <f t="shared" si="8"/>
        <v>0</v>
      </c>
      <c r="F20" s="26">
        <f t="shared" si="8"/>
        <v>0</v>
      </c>
      <c r="G20" s="26">
        <f t="shared" si="8"/>
        <v>0</v>
      </c>
      <c r="H20" s="26">
        <f t="shared" si="8"/>
        <v>0</v>
      </c>
      <c r="I20" s="26">
        <f t="shared" si="8"/>
        <v>0</v>
      </c>
      <c r="J20" s="26">
        <f t="shared" si="8"/>
        <v>0</v>
      </c>
      <c r="K20" s="26">
        <f t="shared" si="8"/>
        <v>0</v>
      </c>
      <c r="L20" s="26">
        <f t="shared" si="8"/>
        <v>0</v>
      </c>
      <c r="M20" s="26">
        <f t="shared" si="8"/>
        <v>0</v>
      </c>
      <c r="N20" s="26">
        <f t="shared" si="6"/>
        <v>0</v>
      </c>
    </row>
    <row r="21" spans="1:14" x14ac:dyDescent="0.2">
      <c r="A21" s="7" t="s">
        <v>226</v>
      </c>
      <c r="B21" s="26">
        <f>B14-B20</f>
        <v>0</v>
      </c>
      <c r="C21" s="26">
        <f t="shared" ref="C21:M21" si="9">C14-C20</f>
        <v>0</v>
      </c>
      <c r="D21" s="26">
        <f t="shared" si="9"/>
        <v>0</v>
      </c>
      <c r="E21" s="26">
        <f t="shared" si="9"/>
        <v>0</v>
      </c>
      <c r="F21" s="26">
        <f t="shared" si="9"/>
        <v>0</v>
      </c>
      <c r="G21" s="26">
        <f t="shared" si="9"/>
        <v>0</v>
      </c>
      <c r="H21" s="26">
        <f t="shared" si="9"/>
        <v>0</v>
      </c>
      <c r="I21" s="26">
        <f t="shared" si="9"/>
        <v>0</v>
      </c>
      <c r="J21" s="26">
        <f t="shared" si="9"/>
        <v>0</v>
      </c>
      <c r="K21" s="26">
        <f t="shared" si="9"/>
        <v>0</v>
      </c>
      <c r="L21" s="26">
        <f t="shared" si="9"/>
        <v>0</v>
      </c>
      <c r="M21" s="26">
        <f t="shared" si="9"/>
        <v>0</v>
      </c>
      <c r="N21" s="26">
        <f t="shared" si="6"/>
        <v>0</v>
      </c>
    </row>
    <row r="23" spans="1:14" hidden="1" x14ac:dyDescent="0.2">
      <c r="B23" s="92"/>
      <c r="D23" s="26"/>
      <c r="E23" s="26"/>
    </row>
    <row r="24" spans="1:14" hidden="1" x14ac:dyDescent="0.2"/>
    <row r="25" spans="1:14" hidden="1" x14ac:dyDescent="0.2">
      <c r="A25" s="6" t="s">
        <v>151</v>
      </c>
      <c r="B25" s="71">
        <f>IF(JanLine1Units&lt;=0,0,IF(JanLine1Units&lt;=Line1Low,Line1LowPrice,IF(JanLine1Units&lt;=Line1Med,Line1MedPrice,Line1HighPrice)))</f>
        <v>0</v>
      </c>
      <c r="C25" s="71">
        <f>IF(FebLine1Units&lt;=0,0,IF(FebLine1Units&lt;=Line1Low,Line1LowPrice,IF(FebLine1Units&lt;=Line1Med,Line1MedPrice,Line1HighPrice)))</f>
        <v>0</v>
      </c>
      <c r="D25" s="71">
        <f>IF(MarLine1Units&lt;=0,0,IF(MarLine1Units&lt;=Line1Low,Line1LowPrice,IF(MarLine1Units&lt;=Line1Med,Line1MedPrice,Line1HighPrice)))</f>
        <v>0</v>
      </c>
      <c r="E25" s="71">
        <f>IF(AprLine1Units&lt;=0,0,IF(AprLine1Units&lt;=Line1Low,Line1LowPrice,IF(AprLine1Units&lt;=Line1Med,Line1MedPrice,Line1HighPrice)))</f>
        <v>0</v>
      </c>
      <c r="F25" s="71">
        <f>IF(MayLine1Units&lt;=0,0,IF(MayLine1Units&lt;=Line1Low,Line1LowPrice,IF(MayLine1Units&lt;=Line1Med,Line1MedPrice,Line1HighPrice)))</f>
        <v>0</v>
      </c>
      <c r="G25" s="71">
        <f>IF(JunLine1Units&lt;=0,0,IF(JunLine1Units&lt;=Line1Low,Line1LowPrice,IF(JunLine1Units&lt;=Line1Med,Line1MedPrice,Line1HighPrice)))</f>
        <v>0</v>
      </c>
      <c r="H25" s="71">
        <f>IF(JulLine1Units&lt;=0,0,IF(JulLine1Units&lt;=Line1Low,Line1LowPrice,IF(JulLine1Units&lt;=Line1Med,Line1MedPrice,Line1HighPrice)))</f>
        <v>0</v>
      </c>
      <c r="I25" s="71">
        <f>IF(AugLine1Units&lt;=0,0,IF(AugLine1Units&lt;=Line1Low,Line1LowPrice,IF(AugLine1Units&lt;=Line1Med,Line1MedPrice,Line1HighPrice)))</f>
        <v>0</v>
      </c>
      <c r="J25" s="71">
        <f>IF(SepLine1Units&lt;=0,0,IF(SepLine1Units&lt;=Line1Low,Line1LowPrice,IF(SepLine1Units&lt;=Line1Med,Line1MedPrice,Line1HighPrice)))</f>
        <v>0</v>
      </c>
      <c r="K25" s="71">
        <f>IF(OctLine1Units&lt;=0,0,IF(OctLine1Units&lt;=Line1Low,Line1LowPrice,IF(OctLine1Units&lt;=Line1Med,Line1MedPrice,Line1HighPrice)))</f>
        <v>0</v>
      </c>
      <c r="L25" s="71">
        <f>IF(NovLine1Units&lt;=0,0,IF(NovLine1Units&lt;=Line1Low,Line1LowPrice,IF(NovLine1Units&lt;=Line1Med,Line1MedPrice,Line1HighPrice)))</f>
        <v>0</v>
      </c>
      <c r="M25" s="71">
        <f>IF(DecLine1Units&lt;=0,0,IF(DecLine1Units&lt;=Line1Low,Line1LowPrice,IF(DecLine1Units&lt;=Line1Med,Line1MedPrice,Line1HighPrice)))</f>
        <v>0</v>
      </c>
      <c r="N25" s="71"/>
    </row>
    <row r="26" spans="1:14" hidden="1" x14ac:dyDescent="0.2">
      <c r="A26" s="6" t="s">
        <v>153</v>
      </c>
      <c r="B26" s="71">
        <f>IF(JanLine2Units&lt;=0,0,IF(JanLine2Units&lt;=Line2Low,Line2LowPrice,IF(JanLine2Units&lt;=Line2Med,Line2MedPrice,Line2HighPrice)))</f>
        <v>0</v>
      </c>
      <c r="C26" s="71">
        <f>IF(FebLine2Units&lt;=0,0,IF(FebLine2Units&lt;=Line2Low,Line2LowPrice,IF(FebLine2Units&lt;=Line2Med,Line2MedPrice,Line2HighPrice)))</f>
        <v>0</v>
      </c>
      <c r="D26" s="71">
        <f>IF(MarLine2Units&lt;=0,0,IF(MarLine2Units&lt;=Line2Low,Line2LowPrice,IF(MarLine2Units&lt;=Line2Med,Line2MedPrice,Line2HighPrice)))</f>
        <v>0</v>
      </c>
      <c r="E26" s="71">
        <f>IF(AprLine2Units&lt;=0,0,IF(AprLine2Units&lt;=Line2Low,Line2LowPrice,IF(AprLine2Units&lt;=Line2Med,Line2MedPrice,Line2HighPrice)))</f>
        <v>0</v>
      </c>
      <c r="F26" s="71">
        <f>IF(MayLine2Units&lt;=0,0,IF(MayLine2Units&lt;=Line2Low,Line2LowPrice,IF(MayLine2Units&lt;=Line2Med,Line2MedPrice,Line2HighPrice)))</f>
        <v>0</v>
      </c>
      <c r="G26" s="71">
        <f>IF(JunLine2Units&lt;=0,0,IF(JunLine2Units&lt;=Line2Low,Line2LowPrice,IF(JunLine2Units&lt;=Line2Med,Line2MedPrice,Line2HighPrice)))</f>
        <v>0</v>
      </c>
      <c r="H26" s="71">
        <f>IF(JulLine2Units&lt;=0,0,IF(JulLine2Units&lt;=Line2Low,Line2LowPrice,IF(JulLine2Units&lt;=Line2Med,Line2MedPrice,Line2HighPrice)))</f>
        <v>0</v>
      </c>
      <c r="I26" s="71">
        <f>IF(AugLine2Units&lt;=0,0,IF(AugLine2Units&lt;=Line2Low,Line2LowPrice,IF(AugLine2Units&lt;=Line2Med,Line2MedPrice,Line2HighPrice)))</f>
        <v>0</v>
      </c>
      <c r="J26" s="71">
        <f>IF(SepLine2Units&lt;=0,0,IF(SepLine2Units&lt;=Line2Low,Line2LowPrice,IF(SepLine2Units&lt;=Line2Med,Line2MedPrice,Line2HighPrice)))</f>
        <v>0</v>
      </c>
      <c r="K26" s="71">
        <f>IF(OctLine2Units&lt;=0,0,IF(OctLine2Units&lt;=Line2Low,Line2LowPrice,IF(OctLine2Units&lt;=Line2Med,Line2MedPrice,Line2HighPrice)))</f>
        <v>0</v>
      </c>
      <c r="L26" s="71">
        <f>IF(NovLine2Units&lt;=0,0,IF(NovLine2Units&lt;=Line2Low,Line2LowPrice,IF(NovLine2Units&lt;=Line2Med,Line2MedPrice,Line2HighPrice)))</f>
        <v>0</v>
      </c>
      <c r="M26" s="71">
        <f>IF(DecLine2Units&lt;=0,0,IF(DecLine2Units&lt;=Line2Low,Line2LowPrice,IF(DecLine2Units&lt;=Line2Med,Line2MedPrice,Line2HighPrice)))</f>
        <v>0</v>
      </c>
      <c r="N26" s="71"/>
    </row>
    <row r="27" spans="1:14" hidden="1" x14ac:dyDescent="0.2">
      <c r="A27" s="6" t="s">
        <v>152</v>
      </c>
      <c r="B27" s="71">
        <f>IF(JanLine3Units&lt;=0,0,IF(JanLine3Units&lt;=Line3Low,Line3LowPrice,IF(JanLine3Units&lt;=Line3Med,Line3MedPrice,Line3HighPrice)))</f>
        <v>0</v>
      </c>
      <c r="C27" s="71">
        <f>IF(FebLine3Units&lt;=0,0,IF(FebLine3Units&lt;=Line3Low,Line3LowPrice,IF(FebLine3Units&lt;=Line3Med,Line3MedPrice,Line3HighPrice)))</f>
        <v>0</v>
      </c>
      <c r="D27" s="71">
        <f>IF(MarLine3Units&lt;=0,0,IF(MarLine3Units&lt;=Line3Low,Line3LowPrice,IF(MarLine3Units&lt;=Line3Med,Line3MedPrice,Line3HighPrice)))</f>
        <v>0</v>
      </c>
      <c r="E27" s="71">
        <f>IF(AprLine3Units&lt;=0,0,IF(AprLine3Units&lt;=Line3Low,Line3LowPrice,IF(AprLine3Units&lt;=Line3Med,Line3MedPrice,Line3HighPrice)))</f>
        <v>0</v>
      </c>
      <c r="F27" s="71">
        <f>IF(MayLine3Units&lt;=0,0,IF(MayLine3Units&lt;=Line3Low,Line3LowPrice,IF(MayLine3Units&lt;=Line3Med,Line3MedPrice,Line3HighPrice)))</f>
        <v>0</v>
      </c>
      <c r="G27" s="71">
        <f>IF(JunLine3Units&lt;=0,0,IF(JunLine3Units&lt;=Line3Low,Line3LowPrice,IF(JunLine3Units&lt;=Line3Med,Line3MedPrice,Line3HighPrice)))</f>
        <v>0</v>
      </c>
      <c r="H27" s="71">
        <f>IF(JulLine3Units&lt;=0,0,IF(JulLine3Units&lt;=Line3Low,Line3LowPrice,IF(JulLine3Units&lt;=Line3Med,Line3MedPrice,Line3HighPrice)))</f>
        <v>0</v>
      </c>
      <c r="I27" s="71">
        <f>IF(AugLine3Units&lt;=0,0,IF(AugLine3Units&lt;=Line3Low,Line3LowPrice,IF(AugLine3Units&lt;=Line3Med,Line3MedPrice,Line3HighPrice)))</f>
        <v>0</v>
      </c>
      <c r="J27" s="71">
        <f>IF(SepLine3Units&lt;=0,0,IF(SepLine3Units&lt;=Line3Low,Line3LowPrice,IF(SepLine3Units&lt;=Line3Med,Line3MedPrice,Line3HighPrice)))</f>
        <v>0</v>
      </c>
      <c r="K27" s="71">
        <f>IF(OctLine3Units&lt;=0,0,IF(OctLine3Units&lt;=Line3Low,Line3LowPrice,IF(OctLine3Units&lt;=Line3Med,Line3MedPrice,Line3HighPrice)))</f>
        <v>0</v>
      </c>
      <c r="L27" s="71">
        <f>IF(NovLine3Units&lt;=0,0,IF(NovLine3Units&lt;=Line3Low,Line3LowPrice,IF(NovLine3Units&lt;=Line3Med,Line3MedPrice,Line3HighPrice)))</f>
        <v>0</v>
      </c>
      <c r="M27" s="71">
        <f>IF(DecLine3Units&lt;=0,0,IF(DecLine3Units&lt;=Line3Low,Line3LowPrice,IF(DecLine3Units&lt;=Line3Med,Line3MedPrice,Line3HighPrice)))</f>
        <v>0</v>
      </c>
      <c r="N27" s="71"/>
    </row>
    <row r="28" spans="1:14" hidden="1" x14ac:dyDescent="0.2">
      <c r="A28" s="6" t="s">
        <v>154</v>
      </c>
      <c r="B28" s="71">
        <f>IF(JanLine4Units&lt;=0,0,IF(JanLine4Units&lt;=Line4Low,Line4LowPrice,IF(JanLine4Units&lt;=Line4Med,Line4MedPrice,Line4HighPrice)))</f>
        <v>0</v>
      </c>
      <c r="C28" s="71">
        <f>IF(FebLine4Units&lt;=0,0,IF(FebLine4Units&lt;=Line4Low,Line4LowPrice,IF(FebLine4Units&lt;=Line4Med,Line4MedPrice,Line4HighPrice)))</f>
        <v>0</v>
      </c>
      <c r="D28" s="71">
        <f>IF(MarLine4Units&lt;=0,0,IF(MarLine4Units&lt;=Line4Low,Line4LowPrice,IF(MarLine4Units&lt;=Line4Med,Line4MedPrice,Line4HighPrice)))</f>
        <v>0</v>
      </c>
      <c r="E28" s="71">
        <f>IF(AprLine4Units&lt;=0,0,IF(AprLine4Units&lt;=Line4Low,Line4LowPrice,IF(AprLine4Units&lt;=Line4Med,Line4MedPrice,Line4HighPrice)))</f>
        <v>0</v>
      </c>
      <c r="F28" s="71">
        <f>IF(MayLine4Units&lt;=0,0,IF(MayLine4Units&lt;=Line4Low,Line4LowPrice,IF(MayLine4Units&lt;=Line4Med,Line4MedPrice,Line4HighPrice)))</f>
        <v>0</v>
      </c>
      <c r="G28" s="71">
        <f>IF(JunLine4Units&lt;=0,0,IF(JunLine4Units&lt;=Line4Low,Line4LowPrice,IF(JunLine4Units&lt;=Line4Med,Line4MedPrice,Line4HighPrice)))</f>
        <v>0</v>
      </c>
      <c r="H28" s="71">
        <f>IF(JulLine4Units&lt;=0,0,IF(JulLine4Units&lt;=Line4Low,Line4LowPrice,IF(JulLine4Units&lt;=Line4Med,Line4MedPrice,Line4HighPrice)))</f>
        <v>0</v>
      </c>
      <c r="I28" s="71">
        <f>IF(AugLine4Units&lt;=0,0,IF(AugLine4Units&lt;=Line4Low,Line4LowPrice,IF(AugLine4Units&lt;=Line4Med,Line4MedPrice,Line4HighPrice)))</f>
        <v>0</v>
      </c>
      <c r="J28" s="71">
        <f>IF(SepLine4Units&lt;=0,0,IF(SepLine4Units&lt;=Line4Low,Line4LowPrice,IF(SepLine4Units&lt;=Line4Med,Line4MedPrice,Line4HighPrice)))</f>
        <v>0</v>
      </c>
      <c r="K28" s="71">
        <f>IF(OctLine4Units&lt;=0,0,IF(OctLine4Units&lt;=Line4Low,Line4LowPrice,IF(OctLine4Units&lt;=Line4Med,Line4MedPrice,Line4HighPrice)))</f>
        <v>0</v>
      </c>
      <c r="L28" s="71">
        <f>IF(NovLine4Units&lt;=0,0,IF(NovLine4Units&lt;=Line4Low,Line4LowPrice,IF(NovLine4Units&lt;=Line4Med,Line4MedPrice,Line4HighPrice)))</f>
        <v>0</v>
      </c>
      <c r="M28" s="71">
        <f>IF(DecLine4Units&lt;=0,0,IF(DecLine4Units&lt;=Line4Low,Line4LowPrice,IF(DecLine4Units&lt;=Line4Med,Line4MedPrice,Line4HighPrice)))</f>
        <v>0</v>
      </c>
      <c r="N28" s="71"/>
    </row>
    <row r="29" spans="1:14" hidden="1" x14ac:dyDescent="0.2">
      <c r="A29" s="6" t="s">
        <v>155</v>
      </c>
      <c r="B29" s="71">
        <f>IF(JanLine5Units&lt;=0,0,IF(JanLine5Units&lt;=Line5Low,Line5LowPrice,IF(JanLine5Units&lt;=Line5Med,Line5MedPrice,Line5HighPrice)))</f>
        <v>0</v>
      </c>
      <c r="C29" s="71">
        <f>IF(FebLine5Units&lt;=0,0,IF(FebLine5Units&lt;=Line5Low,Line5LowPrice,IF(FebLine5Units&lt;=Line5Med,Line5MedPrice,Line5HighPrice)))</f>
        <v>0</v>
      </c>
      <c r="D29" s="71">
        <f>IF(MarLine5Units&lt;=0,0,IF(MarLine5Units&lt;=Line5Low,Line5LowPrice,IF(MarLine5Units&lt;=Line5Med,Line5MedPrice,Line5HighPrice)))</f>
        <v>0</v>
      </c>
      <c r="E29" s="71">
        <f>IF(AprLine5Units&lt;=0,0,IF(AprLine5Units&lt;=Line5Low,Line5LowPrice,IF(AprLine5Units&lt;=Line5Med,Line5MedPrice,Line5HighPrice)))</f>
        <v>0</v>
      </c>
      <c r="F29" s="71">
        <f>IF(MayLine5Units&lt;=0,0,IF(MayLine5Units&lt;=Line5Low,Line5LowPrice,IF(MayLine5Units&lt;=Line5Med,Line5MedPrice,Line5HighPrice)))</f>
        <v>0</v>
      </c>
      <c r="G29" s="71">
        <f>IF(JunLine5Units&lt;=0,0,IF(JunLine5Units&lt;=Line5Low,Line5LowPrice,IF(JunLine5Units&lt;=Line5Med,Line5MedPrice,Line5HighPrice)))</f>
        <v>0</v>
      </c>
      <c r="H29" s="71">
        <f>IF(JulLine5Units&lt;=0,0,IF(JulLine5Units&lt;=Line5Low,Line5LowPrice,IF(JulLine5Units&lt;=Line5Med,Line5MedPrice,Line5HighPrice)))</f>
        <v>0</v>
      </c>
      <c r="I29" s="71">
        <f>IF(AugLine5Units&lt;=0,0,IF(AugLine5Units&lt;=Line5Low,Line5LowPrice,IF(AugLine5Units&lt;=Line5Med,Line5MedPrice,Line5HighPrice)))</f>
        <v>0</v>
      </c>
      <c r="J29" s="71">
        <f>IF(SepLine5Units&lt;=0,0,IF(SepLine5Units&lt;=Line5Low,Line5LowPrice,IF(SepLine5Units&lt;=Line5Med,Line5MedPrice,Line5HighPrice)))</f>
        <v>0</v>
      </c>
      <c r="K29" s="71">
        <f>IF(OctLine5Units&lt;=0,0,IF(OctLine5Units&lt;=Line5Low,Line5LowPrice,IF(OctLine5Units&lt;=Line5Med,Line5MedPrice,Line5HighPrice)))</f>
        <v>0</v>
      </c>
      <c r="L29" s="71">
        <f>IF(NovLine5Units&lt;=0,0,IF(NovLine5Units&lt;=Line5Low,Line5LowPrice,IF(NovLine5Units&lt;=Line5Med,Line5MedPrice,Line5HighPrice)))</f>
        <v>0</v>
      </c>
      <c r="M29" s="71">
        <f>IF(DecLine5Units&lt;=0,0,IF(DecLine5Units&lt;=Line5Low,Line5LowPrice,IF(DecLine5Units&lt;=Line5Med,Line5MedPrice,Line5HighPrice)))</f>
        <v>0</v>
      </c>
      <c r="N29" s="71"/>
    </row>
    <row r="30" spans="1:14" hidden="1" x14ac:dyDescent="0.2">
      <c r="B30" s="71"/>
      <c r="C30" s="71"/>
      <c r="D30" s="71"/>
      <c r="E30" s="71"/>
      <c r="F30" s="71"/>
      <c r="G30" s="71"/>
      <c r="H30" s="71"/>
      <c r="I30" s="71"/>
      <c r="J30" s="71"/>
      <c r="K30" s="71"/>
      <c r="L30" s="71"/>
      <c r="M30" s="71"/>
      <c r="N30" s="71"/>
    </row>
    <row r="31" spans="1:14" hidden="1" x14ac:dyDescent="0.2">
      <c r="A31" s="6" t="s">
        <v>158</v>
      </c>
      <c r="B31" s="71">
        <f>IF(JanLine1Units&lt;=0,0,IF(JanLine1Units&lt;=Line1Low,Line1LowCOGS,IF(JanLine1Units&lt;=Line1Med,Line1MedCOGS,Line1HighCOGS)))</f>
        <v>0</v>
      </c>
      <c r="C31" s="71">
        <f>IF(FebLine1Units&lt;=0,0,IF(FebLine1Units&lt;=Line1Low,Line1LowCOGS,IF(FebLine1Units&lt;=Line1Med,Line1MedCOGS,Line1HighCOGS)))</f>
        <v>0</v>
      </c>
      <c r="D31" s="71">
        <f>IF(MarLine1Units&lt;=0,0,IF(MarLine1Units&lt;=Line1Low,Line1LowCOGS,IF(MarLine1Units&lt;=Line1Med,Line1MedCOGS,Line1HighCOGS)))</f>
        <v>0</v>
      </c>
      <c r="E31" s="71">
        <f>IF(AprLine1Units&lt;=0,0,IF(AprLine1Units&lt;=Line1Low,Line1LowCOGS,IF(AprLine1Units&lt;=Line1Med,Line1MedCOGS,Line1HighCOGS)))</f>
        <v>0</v>
      </c>
      <c r="F31" s="71">
        <f>IF(MayLine1Units&lt;=0,0,IF(MayLine1Units&lt;=Line1Low,Line1LowCOGS,IF(MayLine1Units&lt;=Line1Med,Line1MedCOGS,Line1HighCOGS)))</f>
        <v>0</v>
      </c>
      <c r="G31" s="71">
        <f>IF(JunLine1Units&lt;=0,0,IF(JunLine1Units&lt;=Line1Low,Line1LowCOGS,IF(JunLine1Units&lt;=Line1Med,Line1MedCOGS,Line1HighCOGS)))</f>
        <v>0</v>
      </c>
      <c r="H31" s="71">
        <f>IF(JulLine1Units&lt;=0,0,IF(JulLine1Units&lt;=Line1Low,Line1LowCOGS,IF(JulLine1Units&lt;=Line1Med,Line1MedCOGS,Line1HighCOGS)))</f>
        <v>0</v>
      </c>
      <c r="I31" s="71">
        <f>IF(AugLine1Units&lt;=0,0,IF(AugLine1Units&lt;=Line1Low,Line1LowCOGS,IF(AugLine1Units&lt;=Line1Med,Line1MedCOGS,Line1HighCOGS)))</f>
        <v>0</v>
      </c>
      <c r="J31" s="71">
        <f>IF(SepLine1Units&lt;=0,0,IF(SepLine1Units&lt;=Line1Low,Line1LowCOGS,IF(SepLine1Units&lt;=Line1Med,Line1MedCOGS,Line1HighCOGS)))</f>
        <v>0</v>
      </c>
      <c r="K31" s="71">
        <f>IF(OctLine1Units&lt;=0,0,IF(OctLine1Units&lt;=Line1Low,Line1LowCOGS,IF(OctLine1Units&lt;=Line1Med,Line1MedCOGS,Line1HighCOGS)))</f>
        <v>0</v>
      </c>
      <c r="L31" s="71">
        <f>IF(NovLine1Units&lt;=0,0,IF(NovLine1Units&lt;=Line1Low,Line1LowCOGS,IF(NovLine1Units&lt;=Line1Med,Line1MedCOGS,Line1HighCOGS)))</f>
        <v>0</v>
      </c>
      <c r="M31" s="71">
        <f>IF(DecLine1Units&lt;=0,0,IF(DecLine1Units&lt;=Line1Low,Line1LowCOGS,IF(DecLine1Units&lt;=Line1Med,Line1MedCOGS,Line1HighCOGS)))</f>
        <v>0</v>
      </c>
      <c r="N31" s="71"/>
    </row>
    <row r="32" spans="1:14" hidden="1" x14ac:dyDescent="0.2">
      <c r="A32" s="6" t="s">
        <v>159</v>
      </c>
      <c r="B32" s="71">
        <f>IF(JanLine2Units&lt;=0,0,IF(JanLine2Units&lt;=Line2Low,Line2LowCOGS,IF(JanLine2Units&lt;=Line2Med,Line2MedCOGS,Line2HighCOGS)))</f>
        <v>0</v>
      </c>
      <c r="C32" s="71">
        <f>IF(FebLine2Units&lt;=0,0,IF(FebLine2Units&lt;=Line2Low,Line2LowCOGS,IF(FebLine2Units&lt;=Line2Med,Line2MedCOGS,Line2HighCOGS)))</f>
        <v>0</v>
      </c>
      <c r="D32" s="71">
        <f>IF(MarLine2Units&lt;=0,0,IF(MarLine2Units&lt;=Line2Low,Line2LowCOGS,IF(MarLine2Units&lt;=Line2Med,Line2MedCOGS,Line2HighCOGS)))</f>
        <v>0</v>
      </c>
      <c r="E32" s="71">
        <f>IF(AprLine2Units&lt;=0,0,IF(AprLine2Units&lt;=Line2Low,Line2LowCOGS,IF(AprLine2Units&lt;=Line2Med,Line2MedCOGS,Line2HighCOGS)))</f>
        <v>0</v>
      </c>
      <c r="F32" s="71">
        <f>IF(MayLine2Units&lt;=0,0,IF(MayLine2Units&lt;=Line2Low,Line2LowCOGS,IF(MayLine2Units&lt;=Line2Med,Line2MedCOGS,Line2HighCOGS)))</f>
        <v>0</v>
      </c>
      <c r="G32" s="71">
        <f>IF(JunLine2Units&lt;=0,0,IF(JunLine2Units&lt;=Line2Low,Line2LowCOGS,IF(JunLine2Units&lt;=Line2Med,Line2MedCOGS,Line2HighCOGS)))</f>
        <v>0</v>
      </c>
      <c r="H32" s="71">
        <f>IF(JulLine2Units&lt;=0,0,IF(JulLine2Units&lt;=Line2Low,Line2LowCOGS,IF(JulLine2Units&lt;=Line2Med,Line2MedCOGS,Line2HighCOGS)))</f>
        <v>0</v>
      </c>
      <c r="I32" s="71">
        <f>IF(AugLine2Units&lt;=0,0,IF(AugLine2Units&lt;=Line2Low,Line2LowCOGS,IF(AugLine2Units&lt;=Line2Med,Line2MedCOGS,Line2HighCOGS)))</f>
        <v>0</v>
      </c>
      <c r="J32" s="71">
        <f>IF(SepLine2Units&lt;=0,0,IF(SepLine2Units&lt;=Line2Low,Line2LowCOGS,IF(SepLine2Units&lt;=Line2Med,Line2MedCOGS,Line2HighCOGS)))</f>
        <v>0</v>
      </c>
      <c r="K32" s="71">
        <f>IF(OctLine2Units&lt;=0,0,IF(OctLine2Units&lt;=Line2Low,Line2LowCOGS,IF(OctLine2Units&lt;=Line2Med,Line2MedCOGS,Line2HighCOGS)))</f>
        <v>0</v>
      </c>
      <c r="L32" s="71">
        <f>IF(NovLine2Units&lt;=0,0,IF(NovLine2Units&lt;=Line2Low,Line2LowCOGS,IF(NovLine2Units&lt;=Line2Med,Line2MedCOGS,Line2HighCOGS)))</f>
        <v>0</v>
      </c>
      <c r="M32" s="71">
        <f>IF(DecLine2Units&lt;=0,0,IF(DecLine2Units&lt;=Line2Low,Line2LowCOGS,IF(DecLine2Units&lt;=Line2Med,Line2MedCOGS,Line2HighCOGS)))</f>
        <v>0</v>
      </c>
      <c r="N32" s="71"/>
    </row>
    <row r="33" spans="1:14" hidden="1" x14ac:dyDescent="0.2">
      <c r="A33" s="6" t="s">
        <v>160</v>
      </c>
      <c r="B33" s="71">
        <f>IF(JanLine3Units&lt;=0,0,IF(JanLine3Units&lt;=Line3Low,Line3LowCOGS,IF(JanLine3Units&lt;=Line3Med,Line3MedCOGS,Line3HighCOGS)))</f>
        <v>0</v>
      </c>
      <c r="C33" s="71">
        <f>IF(FebLine3Units&lt;=0,0,IF(FebLine3Units&lt;=Line3Low,Line3LowCOGS,IF(FebLine3Units&lt;=Line3Med,Line3MedCOGS,Line3HighCOGS)))</f>
        <v>0</v>
      </c>
      <c r="D33" s="71">
        <f>IF(MarLine3Units&lt;=0,0,IF(MarLine3Units&lt;=Line3Low,Line3LowCOGS,IF(MarLine3Units&lt;=Line3Med,Line3MedCOGS,Line3HighCOGS)))</f>
        <v>0</v>
      </c>
      <c r="E33" s="71">
        <f>IF(AprLine3Units&lt;=0,0,IF(AprLine3Units&lt;=Line3Low,Line3LowCOGS,IF(ArpLine3Units&lt;=Line3Med,Line3MedCOGS,Line3HighCOGS)))</f>
        <v>0</v>
      </c>
      <c r="F33" s="71">
        <f>IF(MayLine3Units&lt;=0,0,IF(MayLine3Units&lt;=Line3Low,Line3LowCOGS,IF(MayLine3Units&lt;=Line3Med,Line3MedCOGS,Line3HighCOGS)))</f>
        <v>0</v>
      </c>
      <c r="G33" s="71">
        <f>IF(JunLine3Units&lt;=0,0,IF(JunLine3Units&lt;=Line3Low,Line3LowCOGS,IF(JunLine3Units&lt;=Line3Med,Line3MedCOGS,Line3HighCOGS)))</f>
        <v>0</v>
      </c>
      <c r="H33" s="71">
        <f>IF(JulLine3Units&lt;=0,0,IF(JulLine3Units&lt;=Line3Low,Line3LowCOGS,IF(JulLine3Units&lt;=Line3Med,Line3MedCOGS,Line3HighCOGS)))</f>
        <v>0</v>
      </c>
      <c r="I33" s="71">
        <f>IF(AugLine3Units&lt;=0,0,IF(AugLine3Units&lt;=Line3Low,Line3LowCOGS,IF(AugLine3Units&lt;=Line3Med,Line3MedCOGS,Line3HighCOGS)))</f>
        <v>0</v>
      </c>
      <c r="J33" s="71">
        <f>IF(SepLine3Units&lt;=0,0,IF(SepLine3Units&lt;=Line3Low,Line3LowCOGS,IF(SepLine3Units&lt;=Line3Med,Line3MedCOGS,Line3HighCOGS)))</f>
        <v>0</v>
      </c>
      <c r="K33" s="71">
        <f>IF(OctLine3Units&lt;=0,0,IF(OctLine3Units&lt;=Line3Low,Line3LowCOGS,IF(OctLine3Units&lt;=Line3Med,Line3MedCOGS,Line3HighCOGS)))</f>
        <v>0</v>
      </c>
      <c r="L33" s="71">
        <f>IF(NovLine3Units&lt;=0,0,IF(NovLine3Units&lt;=Line3Low,Line3LowCOGS,IF(NovLine3Units&lt;=Line3Med,Line3MedCOGS,Line3HighCOGS)))</f>
        <v>0</v>
      </c>
      <c r="M33" s="71">
        <f>IF(DecLine3Units&lt;=0,0,IF(DecLine3Units&lt;=Line3Low,Line3LowCOGS,IF(DecLine3Units&lt;=Line3Med,Line3MedCOGS,Line3HighCOGS)))</f>
        <v>0</v>
      </c>
      <c r="N33" s="71"/>
    </row>
    <row r="34" spans="1:14" hidden="1" x14ac:dyDescent="0.2">
      <c r="A34" s="6" t="s">
        <v>161</v>
      </c>
      <c r="B34" s="71">
        <f>IF(JanLine4Units&lt;=0,0,IF(JanLine4Units&lt;=Line4Low,Line4LowCOGS,IF(JanLine4Units&lt;=Line4Med,Line4MedCOGS,Line4HighCOGS)))</f>
        <v>0</v>
      </c>
      <c r="C34" s="71">
        <f>IF(FebLine4Units&lt;=0,0,IF(FebLine4Units&lt;=Line4Low,Line4LowCOGS,IF(FebLine4Units&lt;=Line4Med,Line4MedCOGS,Line4HighCOGS)))</f>
        <v>0</v>
      </c>
      <c r="D34" s="71">
        <f>IF(MarLine4Units&lt;=0,0,IF(MarLine4Units&lt;=Line4Low,Line4LowCOGS,IF(MarLine4Units&lt;=Line4Med,Line4MedCOGS,Line4HighCOGS)))</f>
        <v>0</v>
      </c>
      <c r="E34" s="71">
        <f>IF(AprLine4Units&lt;=0,0,IF(AprLine4Units&lt;=Line4Low,Line4LowCOGS,IF(AprLine4Units&lt;=Line4Med,Line4MedCOGS,Line4HighCOGS)))</f>
        <v>0</v>
      </c>
      <c r="F34" s="71">
        <f>IF(MayLine4Units&lt;=0,0,IF(MayLine4Units&lt;=Line4Low,Line4LowCOGS,IF(MayLine4Units&lt;=Line4Med,Line4MedCOGS,Line4HighCOGS)))</f>
        <v>0</v>
      </c>
      <c r="G34" s="71">
        <f>IF(JunLine4Units&lt;=0,0,IF(JunLine4Units&lt;=Line4Low,Line4LowCOGS,IF(JunLine4Units&lt;=Line4Med,Line4MedCOGS,Line4HighCOGS)))</f>
        <v>0</v>
      </c>
      <c r="H34" s="71">
        <f>IF(JulLine4Units&lt;=0,0,IF(JulLine4Units&lt;=Line4Low,Line4LowCOGS,IF(JulLine4Units&lt;=Line4Med,Line4MedCOGS,Line4HighCOGS)))</f>
        <v>0</v>
      </c>
      <c r="I34" s="71">
        <f>IF(AugLine4Units&lt;=0,0,IF(AugLine4Units&lt;=Line4Low,Line4LowCOGS,IF(AugLine4Units&lt;=Line4Med,Line4MedCOGS,Line4HighCOGS)))</f>
        <v>0</v>
      </c>
      <c r="J34" s="71">
        <f>IF(SepLine4Units&lt;=0,0,IF(SepLine4Units&lt;=Line4Low,Line4LowCOGS,IF(SepLine4Units&lt;=Line4Med,Line4MedCOGS,Line4HighCOGS)))</f>
        <v>0</v>
      </c>
      <c r="K34" s="71">
        <f>IF(OctLine4Units&lt;=0,0,IF(OctLine4Units&lt;=Line4Low,Line4LowCOGS,IF(OctLine4Units&lt;=Line4Med,Line4MedCOGS,Line4HighCOGS)))</f>
        <v>0</v>
      </c>
      <c r="L34" s="71">
        <f>IF(NovLine4Units&lt;=0,0,IF(NovLine4Units&lt;=Line4Low,Line4LowCOGS,IF(NovLine4Units&lt;=Line4Med,Line4MedCOGS,Line4HighCOGS)))</f>
        <v>0</v>
      </c>
      <c r="M34" s="71">
        <f>IF(DecLine4Units&lt;=0,0,IF(DecLine4Units&lt;=Line4Low,Line4LowCOGS,IF(DecLine4Units&lt;=Line4Med,Line4MedCOGS,Line4HighCOGS)))</f>
        <v>0</v>
      </c>
      <c r="N34" s="71"/>
    </row>
    <row r="35" spans="1:14" hidden="1" x14ac:dyDescent="0.2">
      <c r="A35" s="6" t="s">
        <v>162</v>
      </c>
      <c r="B35" s="71">
        <f>IF(JanLine5Units&lt;=0,0,IF(JanLine5Units&lt;=Line5Low,Line5LowCOGS,IF(JanLine5Units&lt;=Line5Med,Line5MedCOGS,Line5HighCOGS)))</f>
        <v>0</v>
      </c>
      <c r="C35" s="71">
        <f>IF(FebLine5Units&lt;=0,0,IF(FebLine5Units&lt;=Line5Low,Line5LowCOGS,IF(FebLine5Units&lt;=Line5Med,Line5MedCOGS,Line5HighCOGS)))</f>
        <v>0</v>
      </c>
      <c r="D35" s="71">
        <f>IF(MarLine5Units&lt;=0,0,IF(MarLine5Units&lt;=Line5Low,Line5LowCOGS,IF(MarLine5Units&lt;=Line5Med,Line5MedCOGS,Line5HighCOGS)))</f>
        <v>0</v>
      </c>
      <c r="E35" s="71">
        <f>IF(AprLine5Units&lt;=0,0,IF(AprLine5Units&lt;=Line5Low,Line5LowCOGS,IF(AprLine5Units&lt;=Line5Med,Line5MedCOGS,Line5HighCOGS)))</f>
        <v>0</v>
      </c>
      <c r="F35" s="71">
        <f>IF(MayLine5Units&lt;=0,0,IF(MayLine5Units&lt;=Line5Low,Line5LowCOGS,IF(MayLine5Units&lt;=Line5Med,Line5MedCOGS,Line5HighCOGS)))</f>
        <v>0</v>
      </c>
      <c r="G35" s="71">
        <f>IF(JunLine5Units&lt;=0,0,IF(JunLine5Units&lt;=Line5Low,Line5LowCOGS,IF(JunLine5Units&lt;=Line5Med,Line5MedCOGS,Line5HighCOGS)))</f>
        <v>0</v>
      </c>
      <c r="H35" s="71">
        <f>IF(JulLine5Units&lt;=0,0,IF(JulLine5Units&lt;=Line5Low,Line5LowCOGS,IF(JulLine5Units&lt;=Line5Med,Line5MedCOGS,Line5HighCOGS)))</f>
        <v>0</v>
      </c>
      <c r="I35" s="71">
        <f>IF(AugLine5Units&lt;=0,0,IF(AugLine5Units&lt;=Line5Low,Line5LowCOGS,IF(AugLine5Units&lt;=Line5Med,Line5MedCOGS,Line5HighCOGS)))</f>
        <v>0</v>
      </c>
      <c r="J35" s="71">
        <f>IF(SepLine5Units&lt;=0,0,IF(SepLine5Units&lt;=Line5Low,Line5LowCOGS,IF(SepLine5Units&lt;=Line5Med,Line5MedCOGS,Line5HighCOGS)))</f>
        <v>0</v>
      </c>
      <c r="K35" s="71">
        <f>IF(OctLine5Units&lt;=0,0,IF(OctLine5Units&lt;=Line5Low,Line5LowCOGS,IF(OctLine5Units&lt;=Line5Med,Line5MedCOGS,Line5HighCOGS)))</f>
        <v>0</v>
      </c>
      <c r="L35" s="71">
        <f>IF(NovLine5Units&lt;=0,0,IF(NovLine5Units&lt;=Line5Low,Line5LowCOGS,IF(NovLine5Units&lt;=Line5Med,Line5MedCOGS,Line5HighCOGS)))</f>
        <v>0</v>
      </c>
      <c r="M35" s="71">
        <f>IF(DecLine5Units&lt;=0,0,IF(DecLine5Units&lt;=Line5Low,Line5LowCOGS,IF(DecLine5Units&lt;=Line5Med,Line5MedCOGS,Line5HighCOGS)))</f>
        <v>0</v>
      </c>
      <c r="N35" s="71"/>
    </row>
    <row r="36" spans="1:14" hidden="1" x14ac:dyDescent="0.2"/>
    <row r="37" spans="1:14" hidden="1" x14ac:dyDescent="0.2">
      <c r="A37" s="6" t="s">
        <v>163</v>
      </c>
      <c r="B37" s="71">
        <f>IF(JanLine1Units&lt;=0,0,IF(JanLine1Units&lt;=Line1Low,Line1LowMat,IF(JanLine1Units&lt;=Line1Med,Line1MedMat,Line1HighMat)))</f>
        <v>0</v>
      </c>
      <c r="C37" s="71">
        <f>IF(FebLine1Units&lt;=0,0,IF(FebLine1Units&lt;=Line1Low,Line1LowMat,IF(FebLine1Units&lt;=Line1Med,Line1MedMat,Line1HighMat)))</f>
        <v>0</v>
      </c>
      <c r="D37" s="71">
        <f>IF(MarLine1Units&lt;=0,0,IF(MarLine1Units&lt;=Line1Low,Line1LowMat,IF(MarLine1Units&lt;=Line1Med,Line1MedMat,Line1HighMat)))</f>
        <v>0</v>
      </c>
      <c r="E37" s="71">
        <f>IF(AprLine1Units&lt;=0,0,IF(AprLine1Units&lt;=Line1Low,Line1LowMat,IF(AprLine1Units&lt;=Line1Med,Line1MedMat,Line1HighMat)))</f>
        <v>0</v>
      </c>
      <c r="F37" s="71">
        <f>IF(MayLine1Units&lt;=0,0,IF(MayLine1Units&lt;=Line1Low,Line1LowMat,IF(MayLine1Units&lt;=Line1Med,Line1MedMat,Line1HighMat)))</f>
        <v>0</v>
      </c>
      <c r="G37" s="71">
        <f>IF(JunLine1Units&lt;=0,0,IF(JunLine1Units&lt;=Line1Low,Line1LowMat,IF(JunLine1Units&lt;=Line1Med,Line1MedMat,Line1HighMat)))</f>
        <v>0</v>
      </c>
      <c r="H37" s="71">
        <f>IF(JulLine1Units&lt;=0,0,IF(JulLine1Units&lt;=Line1Low,Line1LowMat,IF(JulLine1Units&lt;=Line1Med,Line1MedMat,Line1HighMat)))</f>
        <v>0</v>
      </c>
      <c r="I37" s="71">
        <f>IF(AugLine1Units&lt;=0,0,IF(AugLine1Units&lt;=Line1Low,Line1LowMat,IF(AugLine1Units&lt;=Line1Med,Line1MedMat,Line1HighMat)))</f>
        <v>0</v>
      </c>
      <c r="J37" s="71">
        <f>IF(SepLine1Units&lt;=0,0,IF(SepLine1Units&lt;=Line1Low,Line1LowMat,IF(SepLine1Units&lt;=Line1Med,Line1MedMat,Line1HighMat)))</f>
        <v>0</v>
      </c>
      <c r="K37" s="71">
        <f>IF(OctLine1Units&lt;=0,0,IF(OctLine1Units&lt;=Line1Low,Line1LowMat,IF(OctLine1Units&lt;=Line1Med,Line1MedMat,Line1HighMat)))</f>
        <v>0</v>
      </c>
      <c r="L37" s="71">
        <f>IF(NovLine1Units&lt;=0,0,IF(NovLine1Units&lt;=Line1Low,Line1LowMat,IF(NovLine1Units&lt;=Line1Med,Line1MedMat,Line1HighMat)))</f>
        <v>0</v>
      </c>
      <c r="M37" s="71">
        <f>IF(DecLine1Units&lt;=0,0,IF(DecLine1Units&lt;=Line1Low,Line1LowMat,IF(DecLine1Units&lt;=Line1Med,Line1MedMat,Line1HighMat)))</f>
        <v>0</v>
      </c>
      <c r="N37" s="71"/>
    </row>
    <row r="38" spans="1:14" hidden="1" x14ac:dyDescent="0.2">
      <c r="A38" s="6" t="s">
        <v>164</v>
      </c>
      <c r="B38" s="71">
        <f>IF(JanLine2Units&lt;=0,0,IF(JanLine2Units&lt;=Line2Low,Line2LowMat,IF(JanLine2Units&lt;=Line2Med,Line2MedMat,Line2HighMat)))</f>
        <v>0</v>
      </c>
      <c r="C38" s="71">
        <f>IF(FebLine2Units&lt;=0,0,IF(FebLine2Units&lt;=Line2Low,Line2LowMat,IF(FebLine2Units&lt;=Line2Med,Line2MedMat,Line2HighMat)))</f>
        <v>0</v>
      </c>
      <c r="D38" s="71">
        <f>IF(MarLine2Units&lt;=0,0,IF(MarLine2Units&lt;=Line2Low,Line2LowMat,IF(MarLine2Units&lt;=Line2Med,Line2MedMat,Line2HighMat)))</f>
        <v>0</v>
      </c>
      <c r="E38" s="71">
        <f>IF(AprLine2Units&lt;=0,0,IF(AprLine2Units&lt;=Line2Low,Line2LowMat,IF(AprLine2Units&lt;=Line2Med,Line2MedMat,Line2HighMat)))</f>
        <v>0</v>
      </c>
      <c r="F38" s="71">
        <f>IF(MayLine2Units&lt;=0,0,IF(MayLine2Units&lt;=Line2Low,Line2LowMat,IF(MayLine2Units&lt;=Line2Med,Line2MedMat,Line2HighMat)))</f>
        <v>0</v>
      </c>
      <c r="G38" s="71">
        <f>IF(JunLine2Units&lt;=0,0,IF(JunLine2Units&lt;=Line2Low,Line2LowMat,IF(JunLine2Units&lt;=Line2Med,Line2MedMat,Line2HighMat)))</f>
        <v>0</v>
      </c>
      <c r="H38" s="71">
        <f>IF(JulLine2Units&lt;=0,0,IF(JulLine2Units&lt;=Line2Low,Line2LowMat,IF(JulLine2Units&lt;=Line2Med,Line2MedMat,Line2HighMat)))</f>
        <v>0</v>
      </c>
      <c r="I38" s="71">
        <f>IF(AugLine2Units&lt;=0,0,IF(AugLine2Units&lt;=Line2Low,Line2LowMat,IF(AugLine2Units&lt;=Line2Med,Line2MedMat,Line2HighMat)))</f>
        <v>0</v>
      </c>
      <c r="J38" s="71">
        <f>IF(SepLine2Units&lt;=0,0,IF(SepLine2Units&lt;=Line2Low,Line2LowMat,IF(SepLine2Units&lt;=Line2Med,Line2MedMat,Line2HighMat)))</f>
        <v>0</v>
      </c>
      <c r="K38" s="71">
        <f>IF(OctLine2Units&lt;=0,0,IF(OctLine2Units&lt;=Line2Low,Line2LowMat,IF(OctLine2Units&lt;=Line2Med,Line2MedMat,Line2HighMat)))</f>
        <v>0</v>
      </c>
      <c r="L38" s="71">
        <f>IF(NovLine2Units&lt;=0,0,IF(NovLine2Units&lt;=Line2Low,Line2LowMat,IF(NovLine2Units&lt;=Line2Med,Line2MedMat,Line2HighMat)))</f>
        <v>0</v>
      </c>
      <c r="M38" s="71">
        <f>IF(DecLine2Units&lt;=0,0,IF(DecLine2Units&lt;=Line2Low,Line2LowMat,IF(DecLine2Units&lt;=Line2Med,Line2MedMat,Line2HighMat)))</f>
        <v>0</v>
      </c>
      <c r="N38" s="71"/>
    </row>
    <row r="39" spans="1:14" hidden="1" x14ac:dyDescent="0.2">
      <c r="A39" s="6" t="s">
        <v>165</v>
      </c>
      <c r="B39" s="71">
        <f>IF(JanLine3Units&lt;=0,0,IF(JanLine3Units&lt;=Line3Low,Line3LowMat,IF(JanLine3Units&lt;=Line3Med,Line3MedMat,Line3HighMat)))</f>
        <v>0</v>
      </c>
      <c r="C39" s="71">
        <f>IF(FebLine3Units&lt;=0,0,IF(FebLine3Units&lt;=Line3Low,Line3LowMat,IF(FebLine3Units&lt;=Line3Med,Line3MedMat,Line3HighMat)))</f>
        <v>0</v>
      </c>
      <c r="D39" s="71">
        <f>IF(MarLine3Units&lt;=0,0,IF(MarLine3Units&lt;=Line3Low,Line3LowMat,IF(MarLine3Units&lt;=Line3Med,Line3MedMat,Line3HighMat)))</f>
        <v>0</v>
      </c>
      <c r="E39" s="71">
        <f>IF(AprLine3Units&lt;=0,0,IF(AprLine3Units&lt;=Line3Low,Line3LowMat,IF(ArpLine3Units&lt;=Line3Med,Line3MedMat,Line3HighMat)))</f>
        <v>0</v>
      </c>
      <c r="F39" s="71">
        <f>IF(MayLine3Units&lt;=0,0,IF(MayLine3Units&lt;=Line3Low,Line3LowMat,IF(MayLine3Units&lt;=Line3Med,Line3MedMat,Line3HighMat)))</f>
        <v>0</v>
      </c>
      <c r="G39" s="71">
        <f>IF(JunLine3Units&lt;=0,0,IF(JunLine3Units&lt;=Line3Low,Line3LowMat,IF(JunLine3Units&lt;=Line3Med,Line3MedMat,Line3HighMat)))</f>
        <v>0</v>
      </c>
      <c r="H39" s="71">
        <f>IF(JulLine3Units&lt;=0,0,IF(JulLine3Units&lt;=Line3Low,Line3LowMat,IF(JulLine3Units&lt;=Line3Med,Line3MedMat,Line3HighMat)))</f>
        <v>0</v>
      </c>
      <c r="I39" s="71">
        <f>IF(AugLine3Units&lt;=0,0,IF(AugLine3Units&lt;=Line3Low,Line3LowMat,IF(AugLine3Units&lt;=Line3Med,Line3MedMat,Line3HighMat)))</f>
        <v>0</v>
      </c>
      <c r="J39" s="71">
        <f>IF(SepLine3Units&lt;=0,0,IF(SepLine3Units&lt;=Line3Low,Line3LowMat,IF(SepLine3Units&lt;=Line3Med,Line3MedMat,Line3HighMat)))</f>
        <v>0</v>
      </c>
      <c r="K39" s="71">
        <f>IF(OctLine3Units&lt;=0,0,IF(OctLine3Units&lt;=Line3Low,Line3LowMat,IF(OctLine3Units&lt;=Line3Med,Line3MedMat,Line3HighMat)))</f>
        <v>0</v>
      </c>
      <c r="L39" s="71">
        <f>IF(NovLine3Units&lt;=0,0,IF(NovLine3Units&lt;=Line3Low,Line3LowMat,IF(NovLine3Units&lt;=Line3Med,Line3MedMat,Line3HighMat)))</f>
        <v>0</v>
      </c>
      <c r="M39" s="71">
        <f>IF(DecLine3Units&lt;=0,0,IF(DecLine3Units&lt;=Line3Low,Line3LowMat,IF(DecLine3Units&lt;=Line3Med,Line3MedMat,Line3HighMat)))</f>
        <v>0</v>
      </c>
      <c r="N39" s="71"/>
    </row>
    <row r="40" spans="1:14" hidden="1" x14ac:dyDescent="0.2">
      <c r="A40" s="6" t="s">
        <v>166</v>
      </c>
      <c r="B40" s="71">
        <f>IF(JanLine4Units&lt;=0,0,IF(JanLine4Units&lt;=Line4Low,Line4LowMat,IF(JanLine4Units&lt;=Line4Med,Line4MedMat,Line4HighMat)))</f>
        <v>0</v>
      </c>
      <c r="C40" s="71">
        <f>IF(FebLine4Units&lt;=0,0,IF(FebLine4Units&lt;=Line4Low,Line4LowMat,IF(FebLine4Units&lt;=Line4Med,Line4MedMat,Line4HighMat)))</f>
        <v>0</v>
      </c>
      <c r="D40" s="71">
        <f>IF(MarLine4Units&lt;=0,0,IF(MarLine4Units&lt;=Line4Low,Line4LowMat,IF(MarLine4Units&lt;=Line4Med,Line4MedMat,Line4HighMat)))</f>
        <v>0</v>
      </c>
      <c r="E40" s="71">
        <f>IF(AprLine4Units&lt;=0,0,IF(AprLine4Units&lt;=Line4Low,Line4LowMat,IF(AprLine4Units&lt;=Line4Med,Line4MedMat,Line4HighMat)))</f>
        <v>0</v>
      </c>
      <c r="F40" s="71">
        <f>IF(MayLine4Units&lt;=0,0,IF(MayLine4Units&lt;=Line4Low,Line4LowMat,IF(MayLine4Units&lt;=Line4Med,Line4MedMat,Line4HighMat)))</f>
        <v>0</v>
      </c>
      <c r="G40" s="71">
        <f>IF(JunLine4Units&lt;=0,0,IF(JunLine4Units&lt;=Line4Low,Line4LowMat,IF(JunLine4Units&lt;=Line4Med,Line4MedMat,Line4HighMat)))</f>
        <v>0</v>
      </c>
      <c r="H40" s="71">
        <f>IF(JulLine4Units&lt;=0,0,IF(JulLine4Units&lt;=Line4Low,Line4LowMat,IF(JulLine4Units&lt;=Line4Med,Line4MedMat,Line4HighMat)))</f>
        <v>0</v>
      </c>
      <c r="I40" s="71">
        <f>IF(AugLine4Units&lt;=0,0,IF(AugLine4Units&lt;=Line4Low,Line4LowMat,IF(AugLine4Units&lt;=Line4Med,Line4MedMat,Line4HighMat)))</f>
        <v>0</v>
      </c>
      <c r="J40" s="71">
        <f>IF(SepLine4Units&lt;=0,0,IF(SepLine4Units&lt;=Line4Low,Line4LowMat,IF(SepLine4Units&lt;=Line4Med,Line4MedMat,Line4HighMat)))</f>
        <v>0</v>
      </c>
      <c r="K40" s="71">
        <f>IF(OctLine4Units&lt;=0,0,IF(OctLine4Units&lt;=Line4Low,Line4LowMat,IF(OctLine4Units&lt;=Line4Med,Line4MedMat,Line4HighMat)))</f>
        <v>0</v>
      </c>
      <c r="L40" s="71">
        <f>IF(NovLine4Units&lt;=0,0,IF(NovLine4Units&lt;=Line4Low,Line4LowMat,IF(NovLine4Units&lt;=Line4Med,Line4MedMat,Line4HighMat)))</f>
        <v>0</v>
      </c>
      <c r="M40" s="71">
        <f>IF(DecLine4Units&lt;=0,0,IF(DecLine4Units&lt;=Line4Low,Line4LowMat,IF(DecLine4Units&lt;=Line4Med,Line4MedMat,Line4HighMat)))</f>
        <v>0</v>
      </c>
      <c r="N40" s="71"/>
    </row>
    <row r="41" spans="1:14" hidden="1" x14ac:dyDescent="0.2">
      <c r="A41" s="6" t="s">
        <v>167</v>
      </c>
      <c r="B41" s="71">
        <f>IF(JanLine5Units&lt;=0,0,IF(JanLine5Units&lt;=Line5Low,Line5LowMat,IF(JanLine5Units&lt;=Line5Med,Line5MedMat,Line5HighMat)))</f>
        <v>0</v>
      </c>
      <c r="C41" s="71">
        <f>IF(FebLine5Units&lt;=0,0,IF(FebLine5Units&lt;=Line5Low,Line5LowMat,IF(FebLine5Units&lt;=Line5Med,Line5MedMat,Line5HighMat)))</f>
        <v>0</v>
      </c>
      <c r="D41" s="71">
        <f>IF(MarLine5Units&lt;=0,0,IF(MarLine5Units&lt;=Line5Low,Line5LowMat,IF(MarLine5Units&lt;=Line5Med,Line5MedMat,Line5HighMat)))</f>
        <v>0</v>
      </c>
      <c r="E41" s="71">
        <f>IF(AprLine5Units&lt;=0,0,IF(AprLine5Units&lt;=Line5Low,Line5LowMat,IF(AprLine5Units&lt;=Line5Med,Line5MedMat,Line5HighMat)))</f>
        <v>0</v>
      </c>
      <c r="F41" s="71">
        <f>IF(MayLine5Units&lt;=0,0,IF(MayLine5Units&lt;=Line5Low,Line5LowMat,IF(MayLine5Units&lt;=Line5Med,Line5MedMat,Line5HighMat)))</f>
        <v>0</v>
      </c>
      <c r="G41" s="71">
        <f>IF(JunLine5Units&lt;=0,0,IF(JunLine5Units&lt;=Line5Low,Line5LowMat,IF(JunLine5Units&lt;=Line5Med,Line5MedMat,Line5HighMat)))</f>
        <v>0</v>
      </c>
      <c r="H41" s="71">
        <f>IF(JulLine5Units&lt;=0,0,IF(JulLine5Units&lt;=Line5Low,Line5LowMat,IF(JulLine5Units&lt;=Line5Med,Line5MedMat,Line5HighMat)))</f>
        <v>0</v>
      </c>
      <c r="I41" s="71">
        <f>IF(AugLine5Units&lt;=0,0,IF(AugLine5Units&lt;=Line5Low,Line5LowMat,IF(AugLine5Units&lt;=Line5Med,Line5MedMat,Line5HighMat)))</f>
        <v>0</v>
      </c>
      <c r="J41" s="71">
        <f>IF(SepLine5Units&lt;=0,0,IF(SepLine5Units&lt;=Line5Low,Line5LowMat,IF(SepLine5Units&lt;=Line5Med,Line5MedMat,Line5HighMat)))</f>
        <v>0</v>
      </c>
      <c r="K41" s="71">
        <f>IF(OctLine5Units&lt;=0,0,IF(OctLine5Units&lt;=Line5Low,Line5LowMat,IF(OctLine5Units&lt;=Line5Med,Line5MedMat,Line5HighMat)))</f>
        <v>0</v>
      </c>
      <c r="L41" s="71">
        <f>IF(NovLine5Units&lt;=0,0,IF(NovLine5Units&lt;=Line5Low,Line5LowMat,IF(NovLine5Units&lt;=Line5Med,Line5MedMat,Line5HighMat)))</f>
        <v>0</v>
      </c>
      <c r="M41" s="71">
        <f>IF(DecLine5Units&lt;=0,0,IF(DecLine5Units&lt;=Line5Low,Line5LowMat,IF(DecLine5Units&lt;=Line5Med,Line5MedMat,Line5HighMat)))</f>
        <v>0</v>
      </c>
      <c r="N41" s="71"/>
    </row>
    <row r="42" spans="1:14" hidden="1" x14ac:dyDescent="0.2"/>
    <row r="43" spans="1:14" hidden="1" x14ac:dyDescent="0.2">
      <c r="A43" s="6" t="s">
        <v>168</v>
      </c>
      <c r="B43" s="71">
        <f>IF(JanLine1Units&lt;=0,0,IF(JanLine1Units&lt;=Line1Low,Line1LowLabor,IF(JanLine1Units&lt;=Line1Med,Line1MedLabor,Line1HighLabor)))</f>
        <v>0</v>
      </c>
      <c r="C43" s="71">
        <f>IF(FebLine1Units&lt;=0,0,IF(FebLine1Units&lt;=Line1Low,Line1LowLabor,IF(FebLine1Units&lt;=Line1Med,Line1MedLabor,Line1HighLabor)))</f>
        <v>0</v>
      </c>
      <c r="D43" s="71">
        <f>IF(MarLine1Units&lt;=0,0,IF(MarLine1Units&lt;=Line1Low,Line1LowLabor,IF(MarLine1Units&lt;=Line1Med,Line1MedLabor,Line1HighLabor)))</f>
        <v>0</v>
      </c>
      <c r="E43" s="71">
        <f>IF(AprLine1Units&lt;=0,0,IF(AprLine1Units&lt;=Line1Low,Line1LowLabor,IF(AprLine1Units&lt;=Line1Med,Line1MedLabor,Line1HighLabor)))</f>
        <v>0</v>
      </c>
      <c r="F43" s="71">
        <f>IF(MayLine1Units&lt;=0,0,IF(MayLine1Units&lt;=Line1Low,Line1LowLabor,IF(MayLine1Units&lt;=Line1Med,Line1MedLabor,Line1HighLabor)))</f>
        <v>0</v>
      </c>
      <c r="G43" s="71">
        <f>IF(JunLine1Units&lt;=0,0,IF(JunLine1Units&lt;=Line1Low,Line1LowLabor,IF(JunLine1Units&lt;=Line1Med,Line1MedLabor,Line1HighLabor)))</f>
        <v>0</v>
      </c>
      <c r="H43" s="71">
        <f>IF(JulLine1Units&lt;=0,0,IF(JulLine1Units&lt;=Line1Low,Line1LowLabor,IF(JulLine1Units&lt;=Line1Med,Line1MedLabor,Line1HighLabor)))</f>
        <v>0</v>
      </c>
      <c r="I43" s="71">
        <f>IF(AugLine1Units&lt;=0,0,IF(AugLine1Units&lt;=Line1Low,Line1LowLabor,IF(AugLine1Units&lt;=Line1Med,Line1MedLabor,Line1HighLabor)))</f>
        <v>0</v>
      </c>
      <c r="J43" s="71">
        <f>IF(SepLine1Units&lt;=0,0,IF(SepLine1Units&lt;=Line1Low,Line1LowLabor,IF(SepLine1Units&lt;=Line1Med,Line1MedLabor,Line1HighLabor)))</f>
        <v>0</v>
      </c>
      <c r="K43" s="71">
        <f>IF(OctLine1Units&lt;=0,0,IF(OctLine1Units&lt;=Line1Low,Line1LowLabor,IF(OctLine1Units&lt;=Line1Med,Line1MedLabor,Line1HighLabor)))</f>
        <v>0</v>
      </c>
      <c r="L43" s="71">
        <f>IF(NovLine1Units&lt;=0,0,IF(NovLine1Units&lt;=Line1Low,Line1LowLabor,IF(NovLine1Units&lt;=Line1Med,Line1MedLabor,Line1HighLabor)))</f>
        <v>0</v>
      </c>
      <c r="M43" s="71">
        <f>IF(DecLine1Units&lt;=0,0,IF(DecLine1Units&lt;=Line1Low,Line1LowLabor,IF(DecLine1Units&lt;=Line1Med,Line1MedLabor,Line1HighLabor)))</f>
        <v>0</v>
      </c>
      <c r="N43" s="71"/>
    </row>
    <row r="44" spans="1:14" hidden="1" x14ac:dyDescent="0.2">
      <c r="A44" s="6" t="s">
        <v>169</v>
      </c>
      <c r="B44" s="71">
        <f>IF(JanLine2Units&lt;=0,0,IF(JanLine2Units&lt;=Line2Low,Line2LowLabor,IF(JanLine2Units&lt;=Line2Med,Line2MedLabor,Line2HighLabor)))</f>
        <v>0</v>
      </c>
      <c r="C44" s="71">
        <f>IF(FebLine2Units&lt;=0,0,IF(FebLine2Units&lt;=Line2Low,Line2LowLabor,IF(FebLine2Units&lt;=Line2Med,Line2MedLabor,Line2HighLabor)))</f>
        <v>0</v>
      </c>
      <c r="D44" s="71">
        <f>IF(MarLine2Units&lt;=0,0,IF(MarLine2Units&lt;=Line2Low,Line2LowLabor,IF(MarLine2Units&lt;=Line2Med,Line2MedLabor,Line2HighLabor)))</f>
        <v>0</v>
      </c>
      <c r="E44" s="71">
        <f>IF(AprLine2Units&lt;=0,0,IF(AprLine2Units&lt;=Line2Low,Line2LowLabor,IF(AprLine2Units&lt;=Line2Med,Line2MedLabor,Line2HighLabor)))</f>
        <v>0</v>
      </c>
      <c r="F44" s="71">
        <f>IF(MayLine2Units&lt;=0,0,IF(MayLine2Units&lt;=Line2Low,Line2LowLabor,IF(MayLine2Units&lt;=Line2Med,Line2MedLabor,Line2HighLabor)))</f>
        <v>0</v>
      </c>
      <c r="G44" s="71">
        <f>IF(JunLine2Units&lt;=0,0,IF(JunLine2Units&lt;=Line2Low,Line2LowLabor,IF(JunLine2Units&lt;=Line2Med,Line2MedLabor,Line2HighLabor)))</f>
        <v>0</v>
      </c>
      <c r="H44" s="71">
        <f>IF(JulLine2Units&lt;=0,0,IF(JulLine2Units&lt;=Line2Low,Line2LowLabor,IF(JulLine2Units&lt;=Line2Med,Line2MedLabor,Line2HighLabor)))</f>
        <v>0</v>
      </c>
      <c r="I44" s="71">
        <f>IF(AugLine2Units&lt;=0,0,IF(AugLine2Units&lt;=Line2Low,Line2LowLabor,IF(AugLine2Units&lt;=Line2Med,Line2MedLabor,Line2HighLabor)))</f>
        <v>0</v>
      </c>
      <c r="J44" s="71">
        <f>IF(SepLine2Units&lt;=0,0,IF(SepLine2Units&lt;=Line2Low,Line2LowLabor,IF(SepLine2Units&lt;=Line2Med,Line2MedLabor,Line2HighLabor)))</f>
        <v>0</v>
      </c>
      <c r="K44" s="71">
        <f>IF(OctLine2Units&lt;=0,0,IF(OctLine2Units&lt;=Line2Low,Line2LowLabor,IF(OctLine2Units&lt;=Line2Med,Line2MedLabor,Line2HighLabor)))</f>
        <v>0</v>
      </c>
      <c r="L44" s="71">
        <f>IF(NovLine2Units&lt;=0,0,IF(NovLine2Units&lt;=Line2Low,Line2LowLabor,IF(NovLine2Units&lt;=Line2Med,Line2MedLabor,Line2HighLabor)))</f>
        <v>0</v>
      </c>
      <c r="M44" s="71">
        <f>IF(DecLine2Units&lt;=0,0,IF(DecLine2Units&lt;=Line2Low,Line2LowLabor,IF(DecLine2Units&lt;=Line2Med,Line2MedLabor,Line2HighLabor)))</f>
        <v>0</v>
      </c>
      <c r="N44" s="71"/>
    </row>
    <row r="45" spans="1:14" hidden="1" x14ac:dyDescent="0.2">
      <c r="A45" s="6" t="s">
        <v>170</v>
      </c>
      <c r="B45" s="71">
        <f>IF(JanLine3Units&lt;=0,0,IF(JanLine3Units&lt;=Line3Low,Line3LowLabor,IF(JanLine3Units&lt;=Line3Med,Line3MedLabor,Line3HighLabor)))</f>
        <v>0</v>
      </c>
      <c r="C45" s="71">
        <f>IF(FebLine3Units&lt;=0,0,IF(FebLine3Units&lt;=Line3Low,Line3LowLabor,IF(FebLine3Units&lt;=Line3Med,Line3MedLabor,Line3HighLabor)))</f>
        <v>0</v>
      </c>
      <c r="D45" s="71">
        <f>IF(MarLine3Units&lt;=0,0,IF(MarLine3Units&lt;=Line3Low,Line3LowLabor,IF(MarLine3Units&lt;=Line3Med,Line3MedLabor,Line3HighLabor)))</f>
        <v>0</v>
      </c>
      <c r="E45" s="71">
        <f>IF(AprLine3Units&lt;=0,0,IF(AprLine3Units&lt;=Line3Low,Line3LowLabor,IF(ArpLine3Units&lt;=Line3Med,Line3MedLabor,Line3HighLabor)))</f>
        <v>0</v>
      </c>
      <c r="F45" s="71">
        <f>IF(MayLine3Units&lt;=0,0,IF(MayLine3Units&lt;=Line3Low,Line3LowLabor,IF(MayLine3Units&lt;=Line3Med,Line3MedLabor,Line3HighLabor)))</f>
        <v>0</v>
      </c>
      <c r="G45" s="71">
        <f>IF(JunLine3Units&lt;=0,0,IF(JunLine3Units&lt;=Line3Low,Line3LowLabor,IF(JunLine3Units&lt;=Line3Med,Line3MedLabor,Line3HighLabor)))</f>
        <v>0</v>
      </c>
      <c r="H45" s="71">
        <f>IF(JulLine3Units&lt;=0,0,IF(JulLine3Units&lt;=Line3Low,Line3LowLabor,IF(JulLine3Units&lt;=Line3Med,Line3MedLabor,Line3HighLabor)))</f>
        <v>0</v>
      </c>
      <c r="I45" s="71">
        <f>IF(AugLine3Units&lt;=0,0,IF(AugLine3Units&lt;=Line3Low,Line3LowLabor,IF(AugLine3Units&lt;=Line3Med,Line3MedLabor,Line3HighLabor)))</f>
        <v>0</v>
      </c>
      <c r="J45" s="71">
        <f>IF(SepLine3Units&lt;=0,0,IF(SepLine3Units&lt;=Line3Low,Line3LowLabor,IF(SepLine3Units&lt;=Line3Med,Line3MedLabor,Line3HighLabor)))</f>
        <v>0</v>
      </c>
      <c r="K45" s="71">
        <f>IF(OctLine3Units&lt;=0,0,IF(OctLine3Units&lt;=Line3Low,Line3LowLabor,IF(OctLine3Units&lt;=Line3Med,Line3MedLabor,Line3HighLabor)))</f>
        <v>0</v>
      </c>
      <c r="L45" s="71">
        <f>IF(NovLine3Units&lt;=0,0,IF(NovLine3Units&lt;=Line3Low,Line3LowLabor,IF(NovLine3Units&lt;=Line3Med,Line3MedLabor,Line3HighLabor)))</f>
        <v>0</v>
      </c>
      <c r="M45" s="71">
        <f>IF(DecLine3Units&lt;=0,0,IF(DecLine3Units&lt;=Line3Low,Line3LowLabor,IF(DecLine3Units&lt;=Line3Med,Line3MedLabor,Line3HighLabor)))</f>
        <v>0</v>
      </c>
      <c r="N45" s="71"/>
    </row>
    <row r="46" spans="1:14" hidden="1" x14ac:dyDescent="0.2">
      <c r="A46" s="6" t="s">
        <v>171</v>
      </c>
      <c r="B46" s="71">
        <f>IF(JanLine4Units&lt;=0,0,IF(JanLine4Units&lt;=Line4Low,Line4LowLabor,IF(JanLine4Units&lt;=Line4Med,Line4MedLabor,Line4HighLabor)))</f>
        <v>0</v>
      </c>
      <c r="C46" s="71">
        <f>IF(FebLine4Units&lt;=0,0,IF(FebLine4Units&lt;=Line4Low,Line4LowLabor,IF(FebLine4Units&lt;=Line4Med,Line4MedLabor,Line4HighLabor)))</f>
        <v>0</v>
      </c>
      <c r="D46" s="71">
        <f>IF(MarLine4Units&lt;=0,0,IF(MarLine4Units&lt;=Line4Low,Line4LowLabor,IF(MarLine4Units&lt;=Line4Med,Line4MedLabor,Line4HighLabor)))</f>
        <v>0</v>
      </c>
      <c r="E46" s="71">
        <f>IF(AprLine4Units&lt;=0,0,IF(AprLine4Units&lt;=Line4Low,Line4LowLabor,IF(AprLine4Units&lt;=Line4Med,Line4MedLabor,Line4HighLabor)))</f>
        <v>0</v>
      </c>
      <c r="F46" s="71">
        <f>IF(MayLine4Units&lt;=0,0,IF(MayLine4Units&lt;=Line4Low,Line4LowLabor,IF(MayLine4Units&lt;=Line4Med,Line4MedLabor,Line4HighLabor)))</f>
        <v>0</v>
      </c>
      <c r="G46" s="71">
        <f>IF(JunLine4Units&lt;=0,0,IF(JunLine4Units&lt;=Line4Low,Line4LowLabor,IF(JunLine4Units&lt;=Line4Med,Line4MedLabor,Line4HighLabor)))</f>
        <v>0</v>
      </c>
      <c r="H46" s="71">
        <f>IF(JulLine4Units&lt;=0,0,IF(JulLine4Units&lt;=Line4Low,Line4LowLabor,IF(JulLine4Units&lt;=Line4Med,Line4MedLabor,Line4HighLabor)))</f>
        <v>0</v>
      </c>
      <c r="I46" s="71">
        <f>IF(AugLine4Units&lt;=0,0,IF(AugLine4Units&lt;=Line4Low,Line4LowLabor,IF(AugLine4Units&lt;=Line4Med,Line4MedLabor,Line4HighLabor)))</f>
        <v>0</v>
      </c>
      <c r="J46" s="71">
        <f>IF(SepLine4Units&lt;=0,0,IF(SepLine4Units&lt;=Line4Low,Line4LowLabor,IF(SepLine4Units&lt;=Line4Med,Line4MedLabor,Line4HighLabor)))</f>
        <v>0</v>
      </c>
      <c r="K46" s="71">
        <f>IF(OctLine4Units&lt;=0,0,IF(OctLine4Units&lt;=Line4Low,Line4LowLabor,IF(OctLine4Units&lt;=Line4Med,Line4MedLabor,Line4HighLabor)))</f>
        <v>0</v>
      </c>
      <c r="L46" s="71">
        <f>IF(NovLine4Units&lt;=0,0,IF(NovLine4Units&lt;=Line4Low,Line4LowLabor,IF(NovLine4Units&lt;=Line4Med,Line4MedLabor,Line4HighLabor)))</f>
        <v>0</v>
      </c>
      <c r="M46" s="71">
        <f>IF(DecLine4Units&lt;=0,0,IF(DecLine4Units&lt;=Line4Low,Line4LowLabor,IF(DecLine4Units&lt;=Line4Med,Line4MedLabor,Line4HighLabor)))</f>
        <v>0</v>
      </c>
      <c r="N46" s="71"/>
    </row>
    <row r="47" spans="1:14" hidden="1" x14ac:dyDescent="0.2">
      <c r="A47" s="6" t="s">
        <v>172</v>
      </c>
      <c r="B47" s="71">
        <f>IF(JanLine5Units&lt;=0,0,IF(JanLine5Units&lt;=Line5Low,Line5LowLabor,IF(JanLine5Units&lt;=Line5Med,Line5MedLabor,Line5HighLabor)))</f>
        <v>0</v>
      </c>
      <c r="C47" s="71">
        <f>IF(FebLine5Units&lt;=0,0,IF(FebLine5Units&lt;=Line5Low,Line5LowLabor,IF(FebLine5Units&lt;=Line5Med,Line5MedLabor,Line5HighLabor)))</f>
        <v>0</v>
      </c>
      <c r="D47" s="71">
        <f>IF(MarLine5Units&lt;=0,0,IF(MarLine5Units&lt;=Line5Low,Line5LowLabor,IF(MarLine5Units&lt;=Line5Med,Line5MedLabor,Line5HighLabor)))</f>
        <v>0</v>
      </c>
      <c r="E47" s="71">
        <f>IF(AprLine5Units&lt;=0,0,IF(AprLine5Units&lt;=Line5Low,Line5LowLabor,IF(AprLine5Units&lt;=Line5Med,Line5MedLabor,Line5HighLabor)))</f>
        <v>0</v>
      </c>
      <c r="F47" s="71">
        <f>IF(MayLine5Units&lt;=0,0,IF(MayLine5Units&lt;=Line5Low,Line5LowLabor,IF(MayLine5Units&lt;=Line5Med,Line5MedLabor,Line5HighLabor)))</f>
        <v>0</v>
      </c>
      <c r="G47" s="71">
        <f>IF(JunLine5Units&lt;=0,0,IF(JunLine5Units&lt;=Line5Low,Line5LowLabor,IF(JunLine5Units&lt;=Line5Med,Line5MedLabor,Line5HighLabor)))</f>
        <v>0</v>
      </c>
      <c r="H47" s="71">
        <f>IF(JulLine5Units&lt;=0,0,IF(JulLine5Units&lt;=Line5Low,Line5LowLabor,IF(JulLine5Units&lt;=Line5Med,Line5MedLabor,Line5HighLabor)))</f>
        <v>0</v>
      </c>
      <c r="I47" s="71">
        <f>IF(AugLine5Units&lt;=0,0,IF(AugLine5Units&lt;=Line5Low,Line5LowLabor,IF(AugLine5Units&lt;=Line5Med,Line5MedLabor,Line5HighLabor)))</f>
        <v>0</v>
      </c>
      <c r="J47" s="71">
        <f>IF(SepLine5Units&lt;=0,0,IF(SepLine5Units&lt;=Line5Low,Line5LowLabor,IF(SepLine5Units&lt;=Line5Med,Line5MedLabor,Line5HighLabor)))</f>
        <v>0</v>
      </c>
      <c r="K47" s="71">
        <f>IF(OctLine5Units&lt;=0,0,IF(OctLine5Units&lt;=Line5Low,Line5LowLabor,IF(OctLine5Units&lt;=Line5Med,Line5MedLabor,Line5HighLabor)))</f>
        <v>0</v>
      </c>
      <c r="L47" s="71">
        <f>IF(NovLine5Units&lt;=0,0,IF(NovLine5Units&lt;=Line5Low,Line5LowLabor,IF(NovLine5Units&lt;=Line5Med,Line5MedLabor,Line5HighLabor)))</f>
        <v>0</v>
      </c>
      <c r="M47" s="71">
        <f>IF(DecLine5Units&lt;=0,0,IF(DecLine5Units&lt;=Line5Low,Line5LowLabor,IF(DecLine5Units&lt;=Line5Med,Line5MedLabor,Line5HighLabor)))</f>
        <v>0</v>
      </c>
      <c r="N47" s="71"/>
    </row>
    <row r="48" spans="1:14" hidden="1" x14ac:dyDescent="0.2"/>
    <row r="49" spans="1:14" hidden="1" x14ac:dyDescent="0.2">
      <c r="A49" s="6" t="s">
        <v>173</v>
      </c>
      <c r="B49" s="71">
        <f>IF(JanLine1Units&lt;=0,0,IF(JanLine1Units&lt;=Line1Low,Line1LowFreight,IF(JanLine1Units&lt;=Line1Med,Line1MedFreight,Line1HighFreight)))</f>
        <v>0</v>
      </c>
      <c r="C49" s="71">
        <f>IF(FebLine1Units&lt;=0,0,IF(FebLine1Units&lt;=Line1Low,Line1LowFreight,IF(FebLine1Units&lt;=Line1Med,Line1MedFreight,Line1HighFreight)))</f>
        <v>0</v>
      </c>
      <c r="D49" s="71">
        <f>IF(MarLine1Units&lt;=0,0,IF(MarLine1Units&lt;=Line1Low,Line1LowFreight,IF(MarLine1Units&lt;=Line1Med,Line1MedFreight,Line1HighFreight)))</f>
        <v>0</v>
      </c>
      <c r="E49" s="71">
        <f>IF(AprLine1Units&lt;=0,0,IF(AprLine1Units&lt;=Line1Low,Line1LowFreight,IF(AprLine1Units&lt;=Line1Med,Line1MedFreight,Line1HighFreight)))</f>
        <v>0</v>
      </c>
      <c r="F49" s="71">
        <f>IF(MayLine1Units&lt;=0,0,IF(MayLine1Units&lt;=Line1Low,Line1LowFreight,IF(MayLine1Units&lt;=Line1Med,Line1MedFreight,Line1HighFreight)))</f>
        <v>0</v>
      </c>
      <c r="G49" s="71">
        <f>IF(JunLine1Units&lt;=0,0,IF(JunLine1Units&lt;=Line1Low,Line1LowFreight,IF(JunLine1Units&lt;=Line1Med,Line1MedFreight,Line1HighFreight)))</f>
        <v>0</v>
      </c>
      <c r="H49" s="71">
        <f>IF(JulLine1Units&lt;=0,0,IF(JulLine1Units&lt;=Line1Low,Line1LowFreight,IF(JulLine1Units&lt;=Line1Med,Line1MedFreight,Line1HighFreight)))</f>
        <v>0</v>
      </c>
      <c r="I49" s="71">
        <f>IF(AugLine1Units&lt;=0,0,IF(AugLine1Units&lt;=Line1Low,Line1LowFreight,IF(AugLine1Units&lt;=Line1Med,Line1MedFreight,Line1HighFreight)))</f>
        <v>0</v>
      </c>
      <c r="J49" s="71">
        <f>IF(SepLine1Units&lt;=0,0,IF(SepLine1Units&lt;=Line1Low,Line1LowFreight,IF(SepLine1Units&lt;=Line1Med,Line1MedFreight,Line1HighFreight)))</f>
        <v>0</v>
      </c>
      <c r="K49" s="71">
        <f>IF(OctLine1Units&lt;=0,0,IF(OctLine1Units&lt;=Line1Low,Line1LowFreight,IF(OctLine1Units&lt;=Line1Med,Line1MedFreight,Line1HighFreight)))</f>
        <v>0</v>
      </c>
      <c r="L49" s="71">
        <f>IF(NovLine1Units&lt;=0,0,IF(NovLine1Units&lt;=Line1Low,Line1LowFreight,IF(NovLine1Units&lt;=Line1Med,Line1MedFreight,Line1HighFreight)))</f>
        <v>0</v>
      </c>
      <c r="M49" s="71">
        <f>IF(DecLine1Units&lt;=0,0,IF(DecLine1Units&lt;=Line1Low,Line1LowFreight,IF(DecLine1Units&lt;=Line1Med,Line1MedFreight,Line1HighFreight)))</f>
        <v>0</v>
      </c>
      <c r="N49" s="71"/>
    </row>
    <row r="50" spans="1:14" hidden="1" x14ac:dyDescent="0.2">
      <c r="A50" s="6" t="s">
        <v>174</v>
      </c>
      <c r="B50" s="71">
        <f>IF(JanLine2Units&lt;=0,0,IF(JanLine2Units&lt;=Line2Low,Line2LowFreight,IF(JanLine2Units&lt;=Line2Med,Line2MedFreight,Line2HighFreight)))</f>
        <v>0</v>
      </c>
      <c r="C50" s="71">
        <f>IF(FebLine2Units&lt;=0,0,IF(FebLine2Units&lt;=Line2Low,Line2LowFreight,IF(FebLine2Units&lt;=Line2Med,Line2MedFreight,Line2HighFreight)))</f>
        <v>0</v>
      </c>
      <c r="D50" s="71">
        <f>IF(MarLine2Units&lt;=0,0,IF(MarLine2Units&lt;=Line2Low,Line2LowFreight,IF(MarLine2Units&lt;=Line2Med,Line2MedFreight,Line2HighFreight)))</f>
        <v>0</v>
      </c>
      <c r="E50" s="71">
        <f>IF(AprLine2Units&lt;=0,0,IF(AprLine2Units&lt;=Line2Low,Line2LowFreight,IF(AprLine2Units&lt;=Line2Med,Line2MedFreight,Line2HighFreight)))</f>
        <v>0</v>
      </c>
      <c r="F50" s="71">
        <f>IF(MayLine2Units&lt;=0,0,IF(MayLine2Units&lt;=Line2Low,Line2LowFreight,IF(MayLine2Units&lt;=Line2Med,Line2MedFreight,Line2HighFreight)))</f>
        <v>0</v>
      </c>
      <c r="G50" s="71">
        <f>IF(JunLine2Units&lt;=0,0,IF(JunLine2Units&lt;=Line2Low,Line2LowFreight,IF(JunLine2Units&lt;=Line2Med,Line2MedFreight,Line2HighFreight)))</f>
        <v>0</v>
      </c>
      <c r="H50" s="71">
        <f>IF(JulLine2Units&lt;=0,0,IF(JulLine2Units&lt;=Line2Low,Line2LowFreight,IF(JulLine2Units&lt;=Line2Med,Line2MedFreight,Line2HighFreight)))</f>
        <v>0</v>
      </c>
      <c r="I50" s="71">
        <f>IF(AugLine2Units&lt;=0,0,IF(AugLine2Units&lt;=Line2Low,Line2LowFreight,IF(AugLine2Units&lt;=Line2Med,Line2MedFreight,Line2HighFreight)))</f>
        <v>0</v>
      </c>
      <c r="J50" s="71">
        <f>IF(SepLine2Units&lt;=0,0,IF(SepLine2Units&lt;=Line2Low,Line2LowFreight,IF(SepLine2Units&lt;=Line2Med,Line2MedFreight,Line2HighFreight)))</f>
        <v>0</v>
      </c>
      <c r="K50" s="71">
        <f>IF(OctLine2Units&lt;=0,0,IF(OctLine2Units&lt;=Line2Low,Line2LowFreight,IF(OctLine2Units&lt;=Line2Med,Line2MedFreight,Line2HighFreight)))</f>
        <v>0</v>
      </c>
      <c r="L50" s="71">
        <f>IF(NovLine2Units&lt;=0,0,IF(NovLine2Units&lt;=Line2Low,Line2LowFreight,IF(NovLine2Units&lt;=Line2Med,Line2MedFreight,Line2HighFreight)))</f>
        <v>0</v>
      </c>
      <c r="M50" s="71">
        <f>IF(DecLine2Units&lt;=0,0,IF(DecLine2Units&lt;=Line2Low,Line2LowFreight,IF(DecLine2Units&lt;=Line2Med,Line2MedFreight,Line2HighFreight)))</f>
        <v>0</v>
      </c>
      <c r="N50" s="71"/>
    </row>
    <row r="51" spans="1:14" hidden="1" x14ac:dyDescent="0.2">
      <c r="A51" s="6" t="s">
        <v>175</v>
      </c>
      <c r="B51" s="71">
        <f>IF(JanLine3Units&lt;=0,0,IF(JanLine3Units&lt;=Line3Low,Line3LowFreight,IF(JanLine3Units&lt;=Line3Med,Line3MedFreight,Line3HighFreight)))</f>
        <v>0</v>
      </c>
      <c r="C51" s="71">
        <f>IF(FebLine3Units&lt;=0,0,IF(FebLine3Units&lt;=Line3Low,Line3LowFreight,IF(FebLine3Units&lt;=Line3Med,Line3MedFreight,Line3HighFreight)))</f>
        <v>0</v>
      </c>
      <c r="D51" s="71">
        <f>IF(MarLine3Units&lt;=0,0,IF(MarLine3Units&lt;=Line3Low,Line3LowFreight,IF(MarLine3Units&lt;=Line3Med,Line3MedFreight,Line3HighFreight)))</f>
        <v>0</v>
      </c>
      <c r="E51" s="71">
        <f>IF(AprLine3Units&lt;=0,0,IF(AprLine3Units&lt;=Line3Low,Line3LowFreight,IF(ArpLine3Units&lt;=Line3Med,Line3MedFreight,Line3HighFreight)))</f>
        <v>0</v>
      </c>
      <c r="F51" s="71">
        <f>IF(MayLine3Units&lt;=0,0,IF(MayLine3Units&lt;=Line3Low,Line3LowFreight,IF(MayLine3Units&lt;=Line3Med,Line3MedFreight,Line3HighFreight)))</f>
        <v>0</v>
      </c>
      <c r="G51" s="71">
        <f>IF(JunLine3Units&lt;=0,0,IF(JunLine3Units&lt;=Line3Low,Line3LowFreight,IF(JunLine3Units&lt;=Line3Med,Line3MedFreight,Line3HighFreight)))</f>
        <v>0</v>
      </c>
      <c r="H51" s="71">
        <f>IF(JulLine3Units&lt;=0,0,IF(JulLine3Units&lt;=Line3Low,Line3LowFreight,IF(JulLine3Units&lt;=Line3Med,Line3MedFreight,Line3HighFreight)))</f>
        <v>0</v>
      </c>
      <c r="I51" s="71">
        <f>IF(AugLine3Units&lt;=0,0,IF(AugLine3Units&lt;=Line3Low,Line3LowFreight,IF(AugLine3Units&lt;=Line3Med,Line3MedFreight,Line3HighFreight)))</f>
        <v>0</v>
      </c>
      <c r="J51" s="71">
        <f>IF(SepLine3Units&lt;=0,0,IF(SepLine3Units&lt;=Line3Low,Line3LowFreight,IF(SepLine3Units&lt;=Line3Med,Line3MedFreight,Line3HighFreight)))</f>
        <v>0</v>
      </c>
      <c r="K51" s="71">
        <f>IF(OctLine3Units&lt;=0,0,IF(OctLine3Units&lt;=Line3Low,Line3LowFreight,IF(OctLine3Units&lt;=Line3Med,Line3MedFreight,Line3HighFreight)))</f>
        <v>0</v>
      </c>
      <c r="L51" s="71">
        <f>IF(NovLine3Units&lt;=0,0,IF(NovLine3Units&lt;=Line3Low,Line3LowFreight,IF(NovLine3Units&lt;=Line3Med,Line3MedFreight,Line3HighFreight)))</f>
        <v>0</v>
      </c>
      <c r="M51" s="71">
        <f>IF(DecLine3Units&lt;=0,0,IF(DecLine3Units&lt;=Line3Low,Line3LowFreight,IF(DecLine3Units&lt;=Line3Med,Line3MedFreight,Line3HighFreight)))</f>
        <v>0</v>
      </c>
      <c r="N51" s="71"/>
    </row>
    <row r="52" spans="1:14" hidden="1" x14ac:dyDescent="0.2">
      <c r="A52" s="6" t="s">
        <v>176</v>
      </c>
      <c r="B52" s="71">
        <f>IF(JanLine4Units&lt;=0,0,IF(JanLine4Units&lt;=Line4Low,Line4LowFreight,IF(JanLine4Units&lt;=Line4Med,Line4MedFreight,Line4HighFreight)))</f>
        <v>0</v>
      </c>
      <c r="C52" s="71">
        <f>IF(FebLine4Units&lt;=0,0,IF(FebLine4Units&lt;=Line4Low,Line4LowFreight,IF(FebLine4Units&lt;=Line4Med,Line4MedFreight,Line4HighFreight)))</f>
        <v>0</v>
      </c>
      <c r="D52" s="71">
        <f>IF(MarLine4Units&lt;=0,0,IF(MarLine4Units&lt;=Line4Low,Line4LowFreight,IF(MarLine4Units&lt;=Line4Med,Line4MedFreight,Line4HighFreight)))</f>
        <v>0</v>
      </c>
      <c r="E52" s="71">
        <f>IF(AprLine4Units&lt;=0,0,IF(AprLine4Units&lt;=Line4Low,Line4LowFreight,IF(AprLine4Units&lt;=Line4Med,Line4MedFreight,Line4HighFreight)))</f>
        <v>0</v>
      </c>
      <c r="F52" s="71">
        <f>IF(MayLine4Units&lt;=0,0,IF(MayLine4Units&lt;=Line4Low,Line4LowFreight,IF(MayLine4Units&lt;=Line4Med,Line4MedFreight,Line4HighFreight)))</f>
        <v>0</v>
      </c>
      <c r="G52" s="71">
        <f>IF(JunLine4Units&lt;=0,0,IF(JunLine4Units&lt;=Line4Low,Line4LowFreight,IF(JunLine4Units&lt;=Line4Med,Line4MedFreight,Line4HighFreight)))</f>
        <v>0</v>
      </c>
      <c r="H52" s="71">
        <f>IF(JulLine4Units&lt;=0,0,IF(JulLine4Units&lt;=Line4Low,Line4LowFreight,IF(JulLine4Units&lt;=Line4Med,Line4MedFreight,Line4HighFreight)))</f>
        <v>0</v>
      </c>
      <c r="I52" s="71">
        <f>IF(AugLine4Units&lt;=0,0,IF(AugLine4Units&lt;=Line4Low,Line4LowFreight,IF(AugLine4Units&lt;=Line4Med,Line4MedFreight,Line4HighFreight)))</f>
        <v>0</v>
      </c>
      <c r="J52" s="71">
        <f>IF(SepLine4Units&lt;=0,0,IF(SepLine4Units&lt;=Line4Low,Line4LowFreight,IF(SepLine4Units&lt;=Line4Med,Line4MedFreight,Line4HighFreight)))</f>
        <v>0</v>
      </c>
      <c r="K52" s="71">
        <f>IF(OctLine4Units&lt;=0,0,IF(OctLine4Units&lt;=Line4Low,Line4LowFreight,IF(OctLine4Units&lt;=Line4Med,Line4MedFreight,Line4HighFreight)))</f>
        <v>0</v>
      </c>
      <c r="L52" s="71">
        <f>IF(NovLine4Units&lt;=0,0,IF(NovLine4Units&lt;=Line4Low,Line4LowFreight,IF(NovLine4Units&lt;=Line4Med,Line4MedFreight,Line4HighFreight)))</f>
        <v>0</v>
      </c>
      <c r="M52" s="71">
        <f>IF(DecLine4Units&lt;=0,0,IF(DecLine4Units&lt;=Line4Low,Line4LowFreight,IF(DecLine4Units&lt;=Line4Med,Line4MedFreight,Line4HighFreight)))</f>
        <v>0</v>
      </c>
      <c r="N52" s="71"/>
    </row>
    <row r="53" spans="1:14" hidden="1" x14ac:dyDescent="0.2">
      <c r="A53" s="6" t="s">
        <v>177</v>
      </c>
      <c r="B53" s="71">
        <f>IF(JanLine5Units&lt;=0,0,IF(JanLine5Units&lt;=Line5Low,Line5LowFreight,IF(JanLine5Units&lt;=Line5Med,Line5MedFreight,Line5HighFreight)))</f>
        <v>0</v>
      </c>
      <c r="C53" s="71">
        <f>IF(FebLine5Units&lt;=0,0,IF(FebLine5Units&lt;=Line5Low,Line5LowFreight,IF(FebLine5Units&lt;=Line5Med,Line5MedFreight,Line5HighFreight)))</f>
        <v>0</v>
      </c>
      <c r="D53" s="71">
        <f>IF(MarLine5Units&lt;=0,0,IF(MarLine5Units&lt;=Line5Low,Line5LowFreight,IF(MarLine5Units&lt;=Line5Med,Line5MedFreight,Line5HighFreight)))</f>
        <v>0</v>
      </c>
      <c r="E53" s="71">
        <f>IF(AprLine5Units&lt;=0,0,IF(AprLine5Units&lt;=Line5Low,Line5LowFreight,IF(AprLine5Units&lt;=Line5Med,Line5MedFreight,Line5HighFreight)))</f>
        <v>0</v>
      </c>
      <c r="F53" s="71">
        <f>IF(MayLine5Units&lt;=0,0,IF(MayLine5Units&lt;=Line5Low,Line5LowFreight,IF(MayLine5Units&lt;=Line5Med,Line5MedFreight,Line5HighFreight)))</f>
        <v>0</v>
      </c>
      <c r="G53" s="71">
        <f>IF(JunLine5Units&lt;=0,0,IF(JunLine5Units&lt;=Line5Low,Line5LowFreight,IF(JunLine5Units&lt;=Line5Med,Line5MedFreight,Line5HighFreight)))</f>
        <v>0</v>
      </c>
      <c r="H53" s="71">
        <f>IF(JulLine5Units&lt;=0,0,IF(JulLine5Units&lt;=Line5Low,Line5LowFreight,IF(JulLine5Units&lt;=Line5Med,Line5MedFreight,Line5HighFreight)))</f>
        <v>0</v>
      </c>
      <c r="I53" s="71">
        <f>IF(AugLine5Units&lt;=0,0,IF(AugLine5Units&lt;=Line5Low,Line5LowFreight,IF(AugLine5Units&lt;=Line5Med,Line5MedFreight,Line5HighFreight)))</f>
        <v>0</v>
      </c>
      <c r="J53" s="71">
        <f>IF(SepLine5Units&lt;=0,0,IF(SepLine5Units&lt;=Line5Low,Line5LowFreight,IF(SepLine5Units&lt;=Line5Med,Line5MedFreight,Line5HighFreight)))</f>
        <v>0</v>
      </c>
      <c r="K53" s="71">
        <f>IF(OctLine5Units&lt;=0,0,IF(OctLine5Units&lt;=Line5Low,Line5LowFreight,IF(OctLine5Units&lt;=Line5Med,Line5MedFreight,Line5HighFreight)))</f>
        <v>0</v>
      </c>
      <c r="L53" s="71">
        <f>IF(NovLine5Units&lt;=0,0,IF(NovLine5Units&lt;=Line5Low,Line5LowFreight,IF(NovLine5Units&lt;=Line5Med,Line5MedFreight,Line5HighFreight)))</f>
        <v>0</v>
      </c>
      <c r="M53" s="71">
        <f>IF(DecLine5Units&lt;=0,0,IF(DecLine5Units&lt;=Line5Low,Line5LowFreight,IF(DecLine5Units&lt;=Line5Med,Line5MedFreight,Line5HighFreight)))</f>
        <v>0</v>
      </c>
      <c r="N53" s="71"/>
    </row>
    <row r="54" spans="1:14" hidden="1" x14ac:dyDescent="0.2"/>
  </sheetData>
  <mergeCells count="3">
    <mergeCell ref="A2:N2"/>
    <mergeCell ref="A3:N3"/>
    <mergeCell ref="A1:N1"/>
  </mergeCells>
  <phoneticPr fontId="2" type="noConversion"/>
  <pageMargins left="0.75" right="0.75" top="1" bottom="1" header="0.5" footer="0.5"/>
  <pageSetup scale="92"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9"/>
  <sheetViews>
    <sheetView workbookViewId="0">
      <selection sqref="A1:N1"/>
    </sheetView>
  </sheetViews>
  <sheetFormatPr defaultRowHeight="12.75" x14ac:dyDescent="0.2"/>
  <cols>
    <col min="1" max="1" width="23" style="6" bestFit="1" customWidth="1"/>
    <col min="2" max="11" width="8.5703125" style="6" customWidth="1"/>
    <col min="12" max="13" width="8.7109375" style="6" bestFit="1" customWidth="1"/>
    <col min="14" max="14" width="10.28515625" style="6" bestFit="1" customWidth="1"/>
    <col min="15" max="16" width="9.140625" style="6" hidden="1" customWidth="1"/>
    <col min="17" max="16384" width="9.140625" style="6"/>
  </cols>
  <sheetData>
    <row r="1" spans="1:22" ht="99.95" customHeight="1" x14ac:dyDescent="0.2">
      <c r="A1" s="193"/>
      <c r="B1" s="193"/>
      <c r="C1" s="193"/>
      <c r="D1" s="193"/>
      <c r="E1" s="193"/>
      <c r="F1" s="193"/>
      <c r="G1" s="193"/>
      <c r="H1" s="193"/>
      <c r="I1" s="193"/>
      <c r="J1" s="193"/>
      <c r="K1" s="193"/>
      <c r="L1" s="193"/>
      <c r="M1" s="193"/>
      <c r="N1" s="193"/>
    </row>
    <row r="2" spans="1:22" ht="18" x14ac:dyDescent="0.25">
      <c r="A2" s="194" t="s">
        <v>100</v>
      </c>
      <c r="B2" s="194"/>
      <c r="C2" s="194"/>
      <c r="D2" s="194"/>
      <c r="E2" s="194"/>
      <c r="F2" s="194"/>
      <c r="G2" s="194"/>
      <c r="H2" s="194"/>
      <c r="I2" s="194"/>
      <c r="J2" s="194"/>
      <c r="K2" s="194"/>
      <c r="L2" s="194"/>
      <c r="M2" s="194"/>
      <c r="N2" s="194"/>
    </row>
    <row r="3" spans="1:22" s="57" customFormat="1" ht="18" x14ac:dyDescent="0.25">
      <c r="A3" s="188" t="str">
        <f>CompanyHeader</f>
        <v>Your Company Name Here (2020 - 2021)</v>
      </c>
      <c r="B3" s="192"/>
      <c r="C3" s="192"/>
      <c r="D3" s="192"/>
      <c r="E3" s="192"/>
      <c r="F3" s="192"/>
      <c r="G3" s="192"/>
      <c r="H3" s="192"/>
      <c r="I3" s="192"/>
      <c r="J3" s="192"/>
      <c r="K3" s="192"/>
      <c r="L3" s="192"/>
      <c r="M3" s="192"/>
      <c r="N3" s="192"/>
      <c r="O3" s="56"/>
      <c r="P3" s="56"/>
      <c r="Q3" s="56"/>
      <c r="R3" s="56"/>
      <c r="S3" s="56"/>
      <c r="T3" s="56"/>
      <c r="U3" s="56"/>
      <c r="V3" s="56"/>
    </row>
    <row r="4" spans="1:22" x14ac:dyDescent="0.2">
      <c r="A4" s="9"/>
      <c r="B4" s="9"/>
      <c r="C4" s="9"/>
      <c r="D4" s="9"/>
      <c r="E4" s="9"/>
      <c r="F4" s="9"/>
      <c r="G4" s="9"/>
      <c r="H4" s="9"/>
      <c r="I4" s="9"/>
      <c r="J4" s="9"/>
      <c r="K4" s="9"/>
      <c r="L4" s="9"/>
      <c r="M4" s="9"/>
      <c r="N4" s="9"/>
    </row>
    <row r="5" spans="1:22" x14ac:dyDescent="0.2">
      <c r="A5" s="40"/>
      <c r="B5" s="11" t="str">
        <f>Month1</f>
        <v>Jul</v>
      </c>
      <c r="C5" s="11" t="str">
        <f>Month2</f>
        <v>Aug</v>
      </c>
      <c r="D5" s="11" t="str">
        <f>Month3</f>
        <v>Sep</v>
      </c>
      <c r="E5" s="11" t="str">
        <f>Month4</f>
        <v>Oct</v>
      </c>
      <c r="F5" s="11" t="str">
        <f>Month5</f>
        <v>Nov</v>
      </c>
      <c r="G5" s="11" t="str">
        <f>Month6</f>
        <v>Dec</v>
      </c>
      <c r="H5" s="11" t="str">
        <f>Month7</f>
        <v>Jan</v>
      </c>
      <c r="I5" s="11" t="str">
        <f>Month8</f>
        <v>Feb</v>
      </c>
      <c r="J5" s="11" t="str">
        <f>Month9</f>
        <v>Mar</v>
      </c>
      <c r="K5" s="11" t="str">
        <f>Month10</f>
        <v>Apr</v>
      </c>
      <c r="L5" s="11" t="str">
        <f>Month11</f>
        <v>May</v>
      </c>
      <c r="M5" s="11" t="str">
        <f>Month12</f>
        <v>Jun</v>
      </c>
      <c r="N5" s="40" t="s">
        <v>23</v>
      </c>
      <c r="O5" s="6" t="s">
        <v>10</v>
      </c>
      <c r="P5" s="6" t="s">
        <v>11</v>
      </c>
    </row>
    <row r="6" spans="1:22" s="38" customFormat="1" x14ac:dyDescent="0.2">
      <c r="A6" s="41" t="s">
        <v>102</v>
      </c>
      <c r="B6" s="39">
        <f>BeginningCash</f>
        <v>0</v>
      </c>
      <c r="C6" s="39">
        <f>B31</f>
        <v>0</v>
      </c>
      <c r="D6" s="39">
        <f t="shared" ref="D6:M6" si="0">C31</f>
        <v>0</v>
      </c>
      <c r="E6" s="39">
        <f t="shared" si="0"/>
        <v>0</v>
      </c>
      <c r="F6" s="39">
        <f t="shared" si="0"/>
        <v>0</v>
      </c>
      <c r="G6" s="39">
        <f t="shared" si="0"/>
        <v>0</v>
      </c>
      <c r="H6" s="39">
        <f t="shared" si="0"/>
        <v>0</v>
      </c>
      <c r="I6" s="39">
        <f t="shared" si="0"/>
        <v>0</v>
      </c>
      <c r="J6" s="39">
        <f t="shared" si="0"/>
        <v>0</v>
      </c>
      <c r="K6" s="39">
        <f t="shared" si="0"/>
        <v>0</v>
      </c>
      <c r="L6" s="39">
        <f t="shared" si="0"/>
        <v>0</v>
      </c>
      <c r="M6" s="39">
        <f t="shared" si="0"/>
        <v>0</v>
      </c>
      <c r="N6" s="39"/>
    </row>
    <row r="7" spans="1:22" x14ac:dyDescent="0.2">
      <c r="A7" s="16" t="s">
        <v>111</v>
      </c>
      <c r="B7" s="34">
        <f>JanNet*CashSalesPercent</f>
        <v>0</v>
      </c>
      <c r="C7" s="34">
        <f>FebNet*CashSalesPercent</f>
        <v>0</v>
      </c>
      <c r="D7" s="34">
        <f>MarNet*CashSalesPercent</f>
        <v>0</v>
      </c>
      <c r="E7" s="34">
        <f>AprNet*CashSalesPercent</f>
        <v>0</v>
      </c>
      <c r="F7" s="34">
        <f>MayNet*CashSalesPercent</f>
        <v>0</v>
      </c>
      <c r="G7" s="34">
        <f>JunNet*CashSalesPercent</f>
        <v>0</v>
      </c>
      <c r="H7" s="34">
        <f>JulNet*CashSalesPercent</f>
        <v>0</v>
      </c>
      <c r="I7" s="34">
        <f>AugNet*CashSalesPercent</f>
        <v>0</v>
      </c>
      <c r="J7" s="34">
        <f>SepNet*CashSalesPercent</f>
        <v>0</v>
      </c>
      <c r="K7" s="34">
        <f>OctNet*CashSalesPercent</f>
        <v>0</v>
      </c>
      <c r="L7" s="34">
        <f>NovNet*CashSalesPercent</f>
        <v>0</v>
      </c>
      <c r="M7" s="34">
        <f>DecNet*CashSalesPercent</f>
        <v>0</v>
      </c>
      <c r="N7" s="34">
        <f>SUM(B7:M7)</f>
        <v>0</v>
      </c>
      <c r="O7" s="8">
        <f>SUM(H7:J7)</f>
        <v>0</v>
      </c>
      <c r="P7" s="8">
        <f>SUM(K7:M7)</f>
        <v>0</v>
      </c>
    </row>
    <row r="8" spans="1:22" x14ac:dyDescent="0.2">
      <c r="A8" s="9" t="s">
        <v>112</v>
      </c>
      <c r="B8" s="9">
        <f>JanNet*AR30DaysPercent*(1-CashSalesPercent)</f>
        <v>0</v>
      </c>
      <c r="C8" s="9">
        <f>FebNet*AR30DaysPercent*(1-CashSalesPercent)</f>
        <v>0</v>
      </c>
      <c r="D8" s="9">
        <f>MarNet*AR30DaysPercent*(1-CashSalesPercent)</f>
        <v>0</v>
      </c>
      <c r="E8" s="9">
        <f>AprNet*AR30DaysPercent*(1-CashSalesPercent)</f>
        <v>0</v>
      </c>
      <c r="F8" s="9">
        <f>MayNet*AR30DaysPercent*(1-CashSalesPercent)</f>
        <v>0</v>
      </c>
      <c r="G8" s="9">
        <f>JunNet*AR30DaysPercent*(1-CashSalesPercent)</f>
        <v>0</v>
      </c>
      <c r="H8" s="9">
        <f>JulNet*AR30DaysPercent*(1-CashSalesPercent)</f>
        <v>0</v>
      </c>
      <c r="I8" s="9">
        <f>AugNet*AR30DaysPercent*(1-CashSalesPercent)</f>
        <v>0</v>
      </c>
      <c r="J8" s="9">
        <f>SepNet*AR30DaysPercent*(1-CashSalesPercent)</f>
        <v>0</v>
      </c>
      <c r="K8" s="9">
        <f>OctNet*AR30DaysPercent*(1-CashSalesPercent)</f>
        <v>0</v>
      </c>
      <c r="L8" s="9">
        <f>NovNet*AR30DaysPercent*(1-CashSalesPercent)</f>
        <v>0</v>
      </c>
      <c r="M8" s="9">
        <f>DecNet*AR30DaysPercent*(1-CashSalesPercent)</f>
        <v>0</v>
      </c>
      <c r="N8" s="9">
        <f>SUM(B8:M8)</f>
        <v>0</v>
      </c>
    </row>
    <row r="9" spans="1:22" x14ac:dyDescent="0.2">
      <c r="A9" s="9" t="s">
        <v>113</v>
      </c>
      <c r="B9" s="9">
        <f>IF(AR60DaysPercent+AR90DaysPercent+AR120DaysPercent =0,0,PreviousAR*AR60DaysPercent/(AR60DaysPercent+AR90DaysPercent+AR120DaysPercent))</f>
        <v>0</v>
      </c>
      <c r="C9" s="9">
        <f>JanNet*AR60DaysPercent*(1-CashSalesPercent)</f>
        <v>0</v>
      </c>
      <c r="D9" s="9">
        <f>FebNet*AR60DaysPercent*(1-CashSalesPercent)</f>
        <v>0</v>
      </c>
      <c r="E9" s="9">
        <f>MarNet*AR60DaysPercent*(1-CashSalesPercent)</f>
        <v>0</v>
      </c>
      <c r="F9" s="9">
        <f>AprNet*AR60DaysPercent*(1-CashSalesPercent)</f>
        <v>0</v>
      </c>
      <c r="G9" s="9">
        <f>MayNet*AR60DaysPercent*(1-CashSalesPercent)</f>
        <v>0</v>
      </c>
      <c r="H9" s="9">
        <f>JunNet*AR60DaysPercent*(1-CashSalesPercent)</f>
        <v>0</v>
      </c>
      <c r="I9" s="9">
        <f>JulNet*AR60DaysPercent*(1-CashSalesPercent)</f>
        <v>0</v>
      </c>
      <c r="J9" s="9">
        <f>AugNet*AR60DaysPercent*(1-CashSalesPercent)</f>
        <v>0</v>
      </c>
      <c r="K9" s="9">
        <f>SepNet*AR60DaysPercent*(1-CashSalesPercent)</f>
        <v>0</v>
      </c>
      <c r="L9" s="9">
        <f>OctNet*AR60DaysPercent*(1-CashSalesPercent)</f>
        <v>0</v>
      </c>
      <c r="M9" s="9">
        <f>NovNet*AR60DaysPercent*(1-CashSalesPercent)</f>
        <v>0</v>
      </c>
      <c r="N9" s="9">
        <f>SUM(B9:M9)</f>
        <v>0</v>
      </c>
    </row>
    <row r="10" spans="1:22" x14ac:dyDescent="0.2">
      <c r="A10" s="34" t="s">
        <v>114</v>
      </c>
      <c r="B10" s="9"/>
      <c r="C10" s="9">
        <f>IF(AR60DaysPercent+AR90DaysPercent+AR120DaysPercent =0,0,PreviousAR*AR90DaysPercent/(AR60DaysPercent+AR90DaysPercent+AR120DaysPercent))</f>
        <v>0</v>
      </c>
      <c r="D10" s="9">
        <f>JanNet*AR90DaysPercent*(1-CashSalesPercent)</f>
        <v>0</v>
      </c>
      <c r="E10" s="9">
        <f>FebNet*AR90DaysPercent*(1-CashSalesPercent)</f>
        <v>0</v>
      </c>
      <c r="F10" s="9">
        <f>MarNet*AR90DaysPercent*(1-CashSalesPercent)</f>
        <v>0</v>
      </c>
      <c r="G10" s="9">
        <f>AprNet*AR90DaysPercent*(1-CashSalesPercent)</f>
        <v>0</v>
      </c>
      <c r="H10" s="9">
        <f>MayNet*AR90DaysPercent*(1-CashSalesPercent)</f>
        <v>0</v>
      </c>
      <c r="I10" s="9">
        <f>JunNet*AR90DaysPercent*(1-CashSalesPercent)</f>
        <v>0</v>
      </c>
      <c r="J10" s="9">
        <f>JulNet*AR90DaysPercent*(1-CashSalesPercent)</f>
        <v>0</v>
      </c>
      <c r="K10" s="9">
        <f>AugNet*AR90DaysPercent*(1-CashSalesPercent)</f>
        <v>0</v>
      </c>
      <c r="L10" s="9">
        <f>SepNet*AR90DaysPercent*(1-CashSalesPercent)</f>
        <v>0</v>
      </c>
      <c r="M10" s="9">
        <f>OctNet*AR90DaysPercent*(1-CashSalesPercent)</f>
        <v>0</v>
      </c>
      <c r="N10" s="9">
        <f>SUM(B10:M10)</f>
        <v>0</v>
      </c>
    </row>
    <row r="11" spans="1:22" x14ac:dyDescent="0.2">
      <c r="A11" s="34" t="s">
        <v>115</v>
      </c>
      <c r="B11" s="9"/>
      <c r="C11" s="9"/>
      <c r="D11" s="9">
        <f>IF(AR60DaysPercent+AR90DaysPercent+AR120DaysPercent =0,0,PreviousAR*AR120DaysPercent/(AR60DaysPercent+AR90DaysPercent+AR120DaysPercent))</f>
        <v>0</v>
      </c>
      <c r="E11" s="9">
        <f>JanNet*AR120DaysPercent*(1-CashSalesPercent)</f>
        <v>0</v>
      </c>
      <c r="F11" s="9">
        <f>FebNet*AR120DaysPercent*(1-CashSalesPercent)</f>
        <v>0</v>
      </c>
      <c r="G11" s="9">
        <f>MarNet*AR120DaysPercent*(1-CashSalesPercent)</f>
        <v>0</v>
      </c>
      <c r="H11" s="9">
        <f>AprNet*AR120DaysPercent*(1-CashSalesPercent)</f>
        <v>0</v>
      </c>
      <c r="I11" s="9">
        <f>MayNet*AR120DaysPercent*(1-CashSalesPercent)</f>
        <v>0</v>
      </c>
      <c r="J11" s="9">
        <f>JunNet*AR120DaysPercent*(1-CashSalesPercent)</f>
        <v>0</v>
      </c>
      <c r="K11" s="9">
        <f>JulNet*AR120DaysPercent*(1-CashSalesPercent)</f>
        <v>0</v>
      </c>
      <c r="L11" s="9">
        <f>AugNet*AR120DaysPercent*(1-CashSalesPercent)</f>
        <v>0</v>
      </c>
      <c r="M11" s="9">
        <f>SepNet*AR120DaysPercent*(1-CashSalesPercent)</f>
        <v>0</v>
      </c>
      <c r="N11" s="9">
        <f>SUM(B11:M11)</f>
        <v>0</v>
      </c>
    </row>
    <row r="12" spans="1:22" x14ac:dyDescent="0.2">
      <c r="A12" s="42" t="s">
        <v>101</v>
      </c>
      <c r="B12" s="9">
        <f>SUM(B7:B11)</f>
        <v>0</v>
      </c>
      <c r="C12" s="9">
        <f t="shared" ref="C12:N12" si="1">SUM(C7:C11)</f>
        <v>0</v>
      </c>
      <c r="D12" s="9">
        <f t="shared" si="1"/>
        <v>0</v>
      </c>
      <c r="E12" s="9">
        <f t="shared" si="1"/>
        <v>0</v>
      </c>
      <c r="F12" s="9">
        <f t="shared" si="1"/>
        <v>0</v>
      </c>
      <c r="G12" s="9">
        <f t="shared" si="1"/>
        <v>0</v>
      </c>
      <c r="H12" s="9">
        <f t="shared" si="1"/>
        <v>0</v>
      </c>
      <c r="I12" s="9">
        <f t="shared" si="1"/>
        <v>0</v>
      </c>
      <c r="J12" s="9">
        <f t="shared" si="1"/>
        <v>0</v>
      </c>
      <c r="K12" s="9">
        <f t="shared" si="1"/>
        <v>0</v>
      </c>
      <c r="L12" s="9">
        <f t="shared" si="1"/>
        <v>0</v>
      </c>
      <c r="M12" s="9">
        <f t="shared" si="1"/>
        <v>0</v>
      </c>
      <c r="N12" s="9">
        <f t="shared" si="1"/>
        <v>0</v>
      </c>
    </row>
    <row r="13" spans="1:22" x14ac:dyDescent="0.2">
      <c r="A13" s="42" t="s">
        <v>103</v>
      </c>
      <c r="B13" s="34"/>
      <c r="C13" s="34"/>
      <c r="D13" s="34"/>
      <c r="E13" s="34"/>
      <c r="F13" s="34"/>
      <c r="G13" s="34"/>
      <c r="H13" s="34"/>
      <c r="I13" s="34"/>
      <c r="J13" s="34"/>
      <c r="K13" s="34"/>
      <c r="L13" s="34"/>
      <c r="M13" s="34"/>
      <c r="N13" s="9"/>
    </row>
    <row r="14" spans="1:22" x14ac:dyDescent="0.2">
      <c r="A14" s="44" t="s">
        <v>121</v>
      </c>
      <c r="B14" s="4"/>
      <c r="C14" s="4"/>
      <c r="D14" s="4"/>
      <c r="E14" s="4"/>
      <c r="F14" s="4"/>
      <c r="G14" s="4"/>
      <c r="H14" s="4"/>
      <c r="I14" s="4"/>
      <c r="J14" s="4"/>
      <c r="K14" s="4"/>
      <c r="L14" s="4"/>
      <c r="M14" s="4"/>
      <c r="N14" s="9">
        <f>SUM(B14:M14)</f>
        <v>0</v>
      </c>
    </row>
    <row r="15" spans="1:22" x14ac:dyDescent="0.2">
      <c r="A15" s="44" t="s">
        <v>125</v>
      </c>
      <c r="B15" s="106"/>
      <c r="C15" s="106"/>
      <c r="D15" s="106"/>
      <c r="E15" s="106"/>
      <c r="F15" s="106"/>
      <c r="G15" s="106"/>
      <c r="H15" s="106"/>
      <c r="I15" s="106"/>
      <c r="J15" s="106"/>
      <c r="K15" s="106"/>
      <c r="L15" s="106"/>
      <c r="M15" s="106"/>
      <c r="N15" s="9"/>
    </row>
    <row r="16" spans="1:22" x14ac:dyDescent="0.2">
      <c r="A16" s="44" t="s">
        <v>126</v>
      </c>
      <c r="B16" s="36"/>
      <c r="C16" s="36"/>
      <c r="D16" s="36"/>
      <c r="E16" s="36"/>
      <c r="F16" s="36"/>
      <c r="G16" s="36"/>
      <c r="H16" s="36"/>
      <c r="I16" s="36"/>
      <c r="J16" s="36"/>
      <c r="K16" s="36"/>
      <c r="L16" s="36"/>
      <c r="M16" s="36"/>
      <c r="N16" s="9"/>
    </row>
    <row r="17" spans="1:14" x14ac:dyDescent="0.2">
      <c r="A17" s="44" t="s">
        <v>131</v>
      </c>
      <c r="B17" s="73">
        <f>IF(JanTerm&gt;0,PMT(JanRate/12,JanTerm,JanPrinciple)*-1,JanPrinciple*JanRate/12)</f>
        <v>0</v>
      </c>
      <c r="C17" s="26">
        <f>IF(FebTerm&gt;0,PMT(FebRate/12,FebTerm,FebPrinciple)*-1,FebPrinciple*FebRate/12)</f>
        <v>0</v>
      </c>
      <c r="D17" s="26">
        <f>IF(MarTerm&gt;0,PMT(MarRate/12,MarTerm,MarPrinciple)*-1,MarPrinciple*MarRate/12)</f>
        <v>0</v>
      </c>
      <c r="E17" s="26">
        <f>IF(AprTerm&gt;0,PMT(AprRate/12,AprTerm,AprPrinciple)*-1,AprPrinciple*AprRate/12)</f>
        <v>0</v>
      </c>
      <c r="F17" s="26">
        <f>IF(MayTerm&gt;0,PMT(MayRate/12,MayTerm,MayPrinciple)*-1,MayPrinciple*MayRate/12)</f>
        <v>0</v>
      </c>
      <c r="G17" s="26">
        <f>IF(JunTerm&gt;0,PMT(JunRate/12,JunTerm,JunPrinciple)*-1,JunPrinciple*JunRate/12)</f>
        <v>0</v>
      </c>
      <c r="H17" s="26">
        <f>IF(JulTerm&gt;0,PMT(JulRate/12,JulTerm,JulPrinciple)*-1,JulPrinciple*JulRate/12)</f>
        <v>0</v>
      </c>
      <c r="I17" s="26">
        <f>IF(AugTerm&gt;0,PMT(AugRate/12,AugTerm,AugPrinciple)*-1,AugPrinciple*AugRate/12)</f>
        <v>0</v>
      </c>
      <c r="J17" s="26">
        <f>IF(SepTerm&gt;0,PMT(SepRate/12,SepTerm,SepPrinciple)*-1,SepPrinciple*SepRate/12)</f>
        <v>0</v>
      </c>
      <c r="K17" s="26">
        <f>IF(OctTerm&gt;0,PMT(OctRate/12,OctTerm,OctPrinciple)*-1,OctPrinciple*OctRate/12)</f>
        <v>0</v>
      </c>
      <c r="L17" s="26">
        <f>IF(NovTerm&gt;0,PMT(NovRate/12,NovTerm,NovPrinciple)*-1,NovPrinciple*NovRate/12)</f>
        <v>0</v>
      </c>
      <c r="M17" s="26">
        <f>IF(DecTerm&gt;0,PMT(DecRate/12,DecTerm,DecPrinciple)*-1,DecPrinciple*DecRate/12)</f>
        <v>0</v>
      </c>
      <c r="N17" s="9"/>
    </row>
    <row r="18" spans="1:14" x14ac:dyDescent="0.2">
      <c r="A18" s="42" t="s">
        <v>104</v>
      </c>
      <c r="B18" s="4">
        <v>0</v>
      </c>
      <c r="C18" s="4"/>
      <c r="D18" s="4"/>
      <c r="E18" s="4"/>
      <c r="F18" s="4"/>
      <c r="G18" s="4"/>
      <c r="H18" s="4"/>
      <c r="I18" s="4"/>
      <c r="J18" s="4"/>
      <c r="K18" s="4"/>
      <c r="L18" s="4"/>
      <c r="M18" s="4"/>
      <c r="N18" s="9">
        <f>SUM(B18:M18)</f>
        <v>0</v>
      </c>
    </row>
    <row r="19" spans="1:14" x14ac:dyDescent="0.2">
      <c r="A19" s="42" t="s">
        <v>105</v>
      </c>
      <c r="B19" s="9">
        <f t="shared" ref="B19:M19" si="2">B12+B14+B18</f>
        <v>0</v>
      </c>
      <c r="C19" s="9">
        <f t="shared" si="2"/>
        <v>0</v>
      </c>
      <c r="D19" s="9">
        <f t="shared" si="2"/>
        <v>0</v>
      </c>
      <c r="E19" s="9">
        <f t="shared" si="2"/>
        <v>0</v>
      </c>
      <c r="F19" s="9">
        <f t="shared" si="2"/>
        <v>0</v>
      </c>
      <c r="G19" s="9">
        <f t="shared" si="2"/>
        <v>0</v>
      </c>
      <c r="H19" s="9">
        <f t="shared" si="2"/>
        <v>0</v>
      </c>
      <c r="I19" s="9">
        <f t="shared" si="2"/>
        <v>0</v>
      </c>
      <c r="J19" s="9">
        <f t="shared" si="2"/>
        <v>0</v>
      </c>
      <c r="K19" s="9">
        <f t="shared" si="2"/>
        <v>0</v>
      </c>
      <c r="L19" s="9">
        <f t="shared" si="2"/>
        <v>0</v>
      </c>
      <c r="M19" s="9">
        <f t="shared" si="2"/>
        <v>0</v>
      </c>
      <c r="N19" s="9">
        <f>SUM(B19:M19)</f>
        <v>0</v>
      </c>
    </row>
    <row r="20" spans="1:14" x14ac:dyDescent="0.2">
      <c r="A20" s="42" t="s">
        <v>186</v>
      </c>
      <c r="B20" s="9"/>
      <c r="C20" s="9"/>
      <c r="D20" s="9"/>
      <c r="E20" s="9"/>
      <c r="F20" s="9"/>
      <c r="G20" s="9"/>
      <c r="H20" s="9"/>
      <c r="I20" s="9"/>
      <c r="J20" s="9"/>
      <c r="K20" s="9"/>
      <c r="L20" s="9"/>
      <c r="M20" s="9"/>
      <c r="N20" s="9"/>
    </row>
    <row r="21" spans="1:14" x14ac:dyDescent="0.2">
      <c r="A21" s="16" t="s">
        <v>106</v>
      </c>
      <c r="B21" s="9">
        <f>JanLabor</f>
        <v>0</v>
      </c>
      <c r="C21" s="9">
        <f>FebLabor</f>
        <v>0</v>
      </c>
      <c r="D21" s="9">
        <f>MarLabor</f>
        <v>0</v>
      </c>
      <c r="E21" s="9">
        <f>AprLabor</f>
        <v>0</v>
      </c>
      <c r="F21" s="9">
        <f>MayLabor</f>
        <v>0</v>
      </c>
      <c r="G21" s="9">
        <f>JunLabor</f>
        <v>0</v>
      </c>
      <c r="H21" s="9">
        <f>JulLabor</f>
        <v>0</v>
      </c>
      <c r="I21" s="9">
        <f>AugLabor</f>
        <v>0</v>
      </c>
      <c r="J21" s="9">
        <f>SepLabor</f>
        <v>0</v>
      </c>
      <c r="K21" s="9">
        <f>OctLabor</f>
        <v>0</v>
      </c>
      <c r="L21" s="9">
        <f>NovLabor</f>
        <v>0</v>
      </c>
      <c r="M21" s="9">
        <f>DecLabor</f>
        <v>0</v>
      </c>
      <c r="N21" s="9">
        <f t="shared" ref="N21:N30" si="3">SUM(B21:M21)</f>
        <v>0</v>
      </c>
    </row>
    <row r="22" spans="1:14" x14ac:dyDescent="0.2">
      <c r="A22" s="44" t="s">
        <v>107</v>
      </c>
      <c r="B22" s="9">
        <f>PreviousAccruedPayable</f>
        <v>0</v>
      </c>
      <c r="C22" s="9">
        <f>JanPRTax</f>
        <v>0</v>
      </c>
      <c r="D22" s="9">
        <f>FebPRTax</f>
        <v>0</v>
      </c>
      <c r="E22" s="9">
        <f>MarPRTax</f>
        <v>0</v>
      </c>
      <c r="F22" s="9">
        <f>AprPRTax</f>
        <v>0</v>
      </c>
      <c r="G22" s="9">
        <f>MayPRTax</f>
        <v>0</v>
      </c>
      <c r="H22" s="9">
        <f>JunPRTax</f>
        <v>0</v>
      </c>
      <c r="I22" s="9">
        <f>JulPRTax</f>
        <v>0</v>
      </c>
      <c r="J22" s="9">
        <f>AugPRTax</f>
        <v>0</v>
      </c>
      <c r="K22" s="9">
        <f>SepPRTax</f>
        <v>0</v>
      </c>
      <c r="L22" s="9">
        <f>OctPRTax</f>
        <v>0</v>
      </c>
      <c r="M22" s="9">
        <f>NovPRTax</f>
        <v>0</v>
      </c>
      <c r="N22" s="9">
        <f t="shared" si="3"/>
        <v>0</v>
      </c>
    </row>
    <row r="23" spans="1:14" x14ac:dyDescent="0.2">
      <c r="A23" s="16" t="s">
        <v>108</v>
      </c>
      <c r="B23" s="9">
        <f>IF(Inventory=0,IF(AP=0,JanMat,IF(AP=1,0,IF(AP=2,0))))+IF(Inventory=1,IF(AP=0,FebMat+JanMat,IF(AP=1,JanMat,IF(AP=2,0))))+IF(Inventory=2,IF(AP=0,MarMat+FebMat+JanMat,IF(AP=1,FebMat+JanMat,IF(AP=2,JanMat))))</f>
        <v>0</v>
      </c>
      <c r="C23" s="9">
        <f>IF(Inventory=0,IF(AP=0,FebMat,IF(AP=1,JanMat,IF(AP=2,0))))+IF(Inventory=1,IF(AP=0,MarMat,IF(AP=1,FebMat,IF(AP=2,JanMat))))+IF(Inventory=2,IF(AP=0,AprMat,IF(AP=1,MarMat,IF(AP=2,FebMat))))</f>
        <v>0</v>
      </c>
      <c r="D23" s="9">
        <f>IF(Inventory=0,IF(AP=0,MarMat,IF(AP=1,FebMat,IF(AP=2,JanMat))))+IF(Inventory=1,IF(AP=0,AprMat,IF(AP=1,MarMat,IF(AP=2,FebMat))))+IF(Inventory=2,IF(AP=0,MayMat,IF(AP=1,AprMat,IF(AP=2,MarMat))))</f>
        <v>0</v>
      </c>
      <c r="E23" s="9">
        <f>IF(Inventory=0,IF(AP=0,AprMat,IF(AP=1,MarMat,IF(AP=2,FebMat))))+IF(Inventory=1,IF(AP=0,MayMat,IF(AP=1,AprMat,IF(AP=2,MarMat))))+IF(Inventory=2,IF(AP=0,JunMat,IF(AP=1,MayMat,IF(AP=2,AprMat))))</f>
        <v>0</v>
      </c>
      <c r="F23" s="9">
        <f>IF(Inventory=0,IF(AP=0,MayMat,IF(AP=1,AprMat,IF(AP=2,MarMat))))+IF(Inventory=1,IF(AP=0,JunMat,IF(AP=1,MayMat,IF(AP=2,AprMat))))+IF(Inventory=2,IF(AP=0,JulMat,IF(AP=1,JunMat,IF(AP=2,MayMat))))</f>
        <v>0</v>
      </c>
      <c r="G23" s="9">
        <f>IF(Inventory=0,IF(AP=0,JunMat,IF(AP=1,MayMat,IF(AP=2,AprMat))))+IF(Inventory=1,IF(AP=0,JulMat,IF(AP=1,JunMat,IF(AP=2,MayMat))))+IF(Inventory=2,IF(AP=0,AugMat,IF(AP=1,JulMat,IF(AP=2,JunMat))))</f>
        <v>0</v>
      </c>
      <c r="H23" s="9">
        <f>IF(Inventory=0,IF(AP=0,JulMat,IF(AP=1,JunMat,IF(AP=2,MayMat))))+IF(Inventory=1,IF(AP=0,AugMat,IF(AP=1,JulMat,IF(AP=2,JunMat))))+IF(Inventory=2,IF(AP=0,SepMat,IF(AP=1,AugMat,IF(AP=2,JulMat))))</f>
        <v>0</v>
      </c>
      <c r="I23" s="9">
        <f>IF(Inventory=0,IF(AP=0,AugMat,IF(AP=1,JulMat,IF(AP=2,JunMat))))+IF(Inventory=1,IF(AP=0,SepMat,IF(AP=1,AugMat,IF(AP=2,JulMat))))+IF(Inventory=2,IF(AP=0,OctMat,IF(AP=1,SepMat,IF(AP=2,AugMat))))</f>
        <v>0</v>
      </c>
      <c r="J23" s="9">
        <f>IF(Inventory=0,IF(AP=0,SepMat,IF(AP=1,AugMat,IF(AP=2,JulMat))))+IF(Inventory=1,IF(AP=0,OctMat,IF(AP=1,SepMat,IF(AP=2,AugMat))))+IF(Inventory=2,IF(AP=0,NovMat,IF(AP=1,OctMat,IF(AP=2,SepMat))))</f>
        <v>0</v>
      </c>
      <c r="K23" s="9">
        <f>IF(Inventory=0,IF(AP=0,OctMat,IF(AP=1,SepMat,IF(AP=2,AugMat))))+IF(Inventory=1,IF(AP=0,NovMat,IF(AP=1,OctMat,IF(AP=2,SepMat))))+IF(Inventory=2,IF(AP=0,DecMat,IF(AP=1,NovMat,IF(AP=2,OctMat))))</f>
        <v>0</v>
      </c>
      <c r="L23" s="9">
        <f>IF(Inventory=0,IF(AP=0,NovMat,IF(AP=1,OctMat,IF(AP=2,SepMat))))+IF(Inventory=1,IF(AP=0,DecMat,IF(AP=1,NovMat,IF(AP=2,OctMat))))+IF(Inventory=2,IF(AP=0,DecMat,IF(AP=1,DecMat,IF(AP=2,NovMat))))</f>
        <v>0</v>
      </c>
      <c r="M23" s="9">
        <f>IF(Inventory=0,IF(AP=0,DecMat,IF(AP=1,NovMat,IF(AP=2,OctMat))))+IF(Inventory=1,IF(AP=0,DecMat,IF(AP=1,DecMat,IF(AP=2,NovMat))))+IF(Inventory=2,IF(AP=0,DecMat,IF(AP=1,DecMat,IF(AP=2,DecMat))))</f>
        <v>0</v>
      </c>
      <c r="N23" s="9">
        <f t="shared" si="3"/>
        <v>0</v>
      </c>
    </row>
    <row r="24" spans="1:14" x14ac:dyDescent="0.2">
      <c r="A24" s="153" t="str">
        <f>"COGS:  "  &amp;COGSLastItem</f>
        <v>COGS:  Freight</v>
      </c>
      <c r="B24" s="9">
        <f>JanFreight</f>
        <v>0</v>
      </c>
      <c r="C24" s="9">
        <f>FebFreight</f>
        <v>0</v>
      </c>
      <c r="D24" s="9">
        <f>MarFreight</f>
        <v>0</v>
      </c>
      <c r="E24" s="9">
        <f>AprFreight</f>
        <v>0</v>
      </c>
      <c r="F24" s="9">
        <f>MayFreight</f>
        <v>0</v>
      </c>
      <c r="G24" s="9">
        <f>JunFreight</f>
        <v>0</v>
      </c>
      <c r="H24" s="9">
        <f>JulFreight</f>
        <v>0</v>
      </c>
      <c r="I24" s="9">
        <f>AugFreight</f>
        <v>0</v>
      </c>
      <c r="J24" s="9">
        <f>SepFreight</f>
        <v>0</v>
      </c>
      <c r="K24" s="9">
        <f>OctFreight</f>
        <v>0</v>
      </c>
      <c r="L24" s="9">
        <f>NovFreight</f>
        <v>0</v>
      </c>
      <c r="M24" s="9">
        <f>DecFreight</f>
        <v>0</v>
      </c>
      <c r="N24" s="9">
        <f t="shared" si="3"/>
        <v>0</v>
      </c>
    </row>
    <row r="25" spans="1:14" x14ac:dyDescent="0.2">
      <c r="A25" s="16" t="s">
        <v>109</v>
      </c>
      <c r="B25" s="9">
        <f>JanOE+PreviousPayables</f>
        <v>0</v>
      </c>
      <c r="C25" s="9">
        <f>FebOE</f>
        <v>0</v>
      </c>
      <c r="D25" s="9">
        <f>MarOE</f>
        <v>0</v>
      </c>
      <c r="E25" s="9">
        <f>AprOE</f>
        <v>0</v>
      </c>
      <c r="F25" s="9">
        <f>MayOE</f>
        <v>0</v>
      </c>
      <c r="G25" s="9">
        <f>JunOE</f>
        <v>0</v>
      </c>
      <c r="H25" s="9">
        <f>JulOE</f>
        <v>0</v>
      </c>
      <c r="I25" s="9">
        <f>AugOE</f>
        <v>0</v>
      </c>
      <c r="J25" s="9">
        <f>SepOE</f>
        <v>0</v>
      </c>
      <c r="K25" s="9">
        <f>OctOE</f>
        <v>0</v>
      </c>
      <c r="L25" s="9">
        <f>NovOE</f>
        <v>0</v>
      </c>
      <c r="M25" s="9">
        <f>DecOE</f>
        <v>0</v>
      </c>
      <c r="N25" s="9">
        <f t="shared" si="3"/>
        <v>0</v>
      </c>
    </row>
    <row r="26" spans="1:14" x14ac:dyDescent="0.2">
      <c r="A26" s="16" t="s">
        <v>225</v>
      </c>
      <c r="B26" s="9">
        <v>0</v>
      </c>
      <c r="C26" s="9">
        <f>JanOEPRTax+JanCommish</f>
        <v>0</v>
      </c>
      <c r="D26" s="9">
        <f>FebOEPRTax+FebCommish</f>
        <v>0</v>
      </c>
      <c r="E26" s="9">
        <f>MarOEPRTax+MarCommish</f>
        <v>0</v>
      </c>
      <c r="F26" s="9">
        <f>AprOEPRTax+AprCommish</f>
        <v>0</v>
      </c>
      <c r="G26" s="9">
        <f>MayOEPRTax+MayCommish</f>
        <v>0</v>
      </c>
      <c r="H26" s="9">
        <f>JunOEPRTax+JunCommish</f>
        <v>0</v>
      </c>
      <c r="I26" s="9">
        <f>JulOEPRTax+JulCommish</f>
        <v>0</v>
      </c>
      <c r="J26" s="9">
        <f>AugOEPRTax+AugCommish</f>
        <v>0</v>
      </c>
      <c r="K26" s="9">
        <f>SepOEPRTax+SepCommish</f>
        <v>0</v>
      </c>
      <c r="L26" s="9">
        <f>OctOEPRTax+OctCommish</f>
        <v>0</v>
      </c>
      <c r="M26" s="9">
        <f>NovOEPRTax+NovCommish</f>
        <v>0</v>
      </c>
      <c r="N26" s="9">
        <f t="shared" si="3"/>
        <v>0</v>
      </c>
    </row>
    <row r="27" spans="1:14" x14ac:dyDescent="0.2">
      <c r="A27" s="16" t="s">
        <v>179</v>
      </c>
      <c r="B27" s="9">
        <f>JanTotalPays</f>
        <v>0</v>
      </c>
      <c r="C27" s="9">
        <f>FebTotalPays</f>
        <v>0</v>
      </c>
      <c r="D27" s="9">
        <f>MarTotalPays</f>
        <v>0</v>
      </c>
      <c r="E27" s="9">
        <f>AprTotalPays</f>
        <v>0</v>
      </c>
      <c r="F27" s="9">
        <f>MayTotalPays</f>
        <v>0</v>
      </c>
      <c r="G27" s="9">
        <f>JunTotalPays</f>
        <v>0</v>
      </c>
      <c r="H27" s="9">
        <f>JulTotalPays</f>
        <v>0</v>
      </c>
      <c r="I27" s="9">
        <f>AugTotalPays</f>
        <v>0</v>
      </c>
      <c r="J27" s="9">
        <f>SepTotalPays</f>
        <v>0</v>
      </c>
      <c r="K27" s="9">
        <f>OctTotalPays</f>
        <v>0</v>
      </c>
      <c r="L27" s="9">
        <f>NovTotalPays</f>
        <v>0</v>
      </c>
      <c r="M27" s="9">
        <f>DecTotalPays</f>
        <v>0</v>
      </c>
      <c r="N27" s="9">
        <f t="shared" si="3"/>
        <v>0</v>
      </c>
    </row>
    <row r="28" spans="1:14" x14ac:dyDescent="0.2">
      <c r="A28" s="16" t="s">
        <v>184</v>
      </c>
      <c r="B28" s="9">
        <f>JanEqmt</f>
        <v>0</v>
      </c>
      <c r="C28" s="9">
        <f>FebEqmt</f>
        <v>0</v>
      </c>
      <c r="D28" s="9">
        <f>MarEqmt</f>
        <v>0</v>
      </c>
      <c r="E28" s="9">
        <f>AprEqmt</f>
        <v>0</v>
      </c>
      <c r="F28" s="9">
        <f>MayEqmt</f>
        <v>0</v>
      </c>
      <c r="G28" s="9">
        <f>JunEqmt</f>
        <v>0</v>
      </c>
      <c r="H28" s="9">
        <f>JulEqmt</f>
        <v>0</v>
      </c>
      <c r="I28" s="9">
        <f>AugEqmt</f>
        <v>0</v>
      </c>
      <c r="J28" s="9">
        <f>SepEqmt</f>
        <v>0</v>
      </c>
      <c r="K28" s="9">
        <f>OctEqmt</f>
        <v>0</v>
      </c>
      <c r="L28" s="9">
        <f>NovEqmt</f>
        <v>0</v>
      </c>
      <c r="M28" s="9">
        <f>DecEqmt</f>
        <v>0</v>
      </c>
      <c r="N28" s="9">
        <f t="shared" si="3"/>
        <v>0</v>
      </c>
    </row>
    <row r="29" spans="1:14" x14ac:dyDescent="0.2">
      <c r="A29" s="16" t="s">
        <v>178</v>
      </c>
      <c r="B29" s="9">
        <f>JanIncomeTax</f>
        <v>0</v>
      </c>
      <c r="C29" s="9">
        <f>FebIncomeTax</f>
        <v>0</v>
      </c>
      <c r="D29" s="9">
        <f>MarIncomeTax</f>
        <v>0</v>
      </c>
      <c r="E29" s="9">
        <f>AprIncomeTax</f>
        <v>0</v>
      </c>
      <c r="F29" s="9">
        <f>MayIncomeTax</f>
        <v>0</v>
      </c>
      <c r="G29" s="9">
        <f>JunIncomeTax</f>
        <v>0</v>
      </c>
      <c r="H29" s="9">
        <f>JulIncomeTax</f>
        <v>0</v>
      </c>
      <c r="I29" s="9">
        <f>AugIncomeTax</f>
        <v>0</v>
      </c>
      <c r="J29" s="9">
        <f>SepIncomeTax</f>
        <v>0</v>
      </c>
      <c r="K29" s="9">
        <f>OctIncomeTax</f>
        <v>0</v>
      </c>
      <c r="L29" s="9">
        <f>NovIncomeTax</f>
        <v>0</v>
      </c>
      <c r="M29" s="9">
        <f>DecIncomeTax</f>
        <v>0</v>
      </c>
      <c r="N29" s="9">
        <f t="shared" si="3"/>
        <v>0</v>
      </c>
    </row>
    <row r="30" spans="1:14" x14ac:dyDescent="0.2">
      <c r="A30" s="45" t="s">
        <v>186</v>
      </c>
      <c r="B30" s="9">
        <f>SUM(B21:B29)</f>
        <v>0</v>
      </c>
      <c r="C30" s="9">
        <f>SUM(C21:C29)</f>
        <v>0</v>
      </c>
      <c r="D30" s="9">
        <f t="shared" ref="D30:M30" si="4">SUM(D21:D29)</f>
        <v>0</v>
      </c>
      <c r="E30" s="9">
        <f t="shared" si="4"/>
        <v>0</v>
      </c>
      <c r="F30" s="9">
        <f t="shared" si="4"/>
        <v>0</v>
      </c>
      <c r="G30" s="9">
        <f t="shared" si="4"/>
        <v>0</v>
      </c>
      <c r="H30" s="9">
        <f t="shared" si="4"/>
        <v>0</v>
      </c>
      <c r="I30" s="9">
        <f t="shared" si="4"/>
        <v>0</v>
      </c>
      <c r="J30" s="9">
        <f t="shared" si="4"/>
        <v>0</v>
      </c>
      <c r="K30" s="9">
        <f t="shared" si="4"/>
        <v>0</v>
      </c>
      <c r="L30" s="9">
        <f t="shared" si="4"/>
        <v>0</v>
      </c>
      <c r="M30" s="9">
        <f t="shared" si="4"/>
        <v>0</v>
      </c>
      <c r="N30" s="9">
        <f t="shared" si="3"/>
        <v>0</v>
      </c>
    </row>
    <row r="31" spans="1:14" x14ac:dyDescent="0.2">
      <c r="A31" s="45" t="s">
        <v>110</v>
      </c>
      <c r="B31" s="9">
        <f t="shared" ref="B31:M31" si="5">B6+B19-B30</f>
        <v>0</v>
      </c>
      <c r="C31" s="9">
        <f t="shared" si="5"/>
        <v>0</v>
      </c>
      <c r="D31" s="9">
        <f t="shared" si="5"/>
        <v>0</v>
      </c>
      <c r="E31" s="9">
        <f t="shared" si="5"/>
        <v>0</v>
      </c>
      <c r="F31" s="9">
        <f t="shared" si="5"/>
        <v>0</v>
      </c>
      <c r="G31" s="9">
        <f t="shared" si="5"/>
        <v>0</v>
      </c>
      <c r="H31" s="9">
        <f t="shared" si="5"/>
        <v>0</v>
      </c>
      <c r="I31" s="9">
        <f t="shared" si="5"/>
        <v>0</v>
      </c>
      <c r="J31" s="9">
        <f t="shared" si="5"/>
        <v>0</v>
      </c>
      <c r="K31" s="9">
        <f t="shared" si="5"/>
        <v>0</v>
      </c>
      <c r="L31" s="9">
        <f t="shared" si="5"/>
        <v>0</v>
      </c>
      <c r="M31" s="9">
        <f t="shared" si="5"/>
        <v>0</v>
      </c>
      <c r="N31" s="9"/>
    </row>
    <row r="32" spans="1:14" x14ac:dyDescent="0.2">
      <c r="A32" s="7"/>
      <c r="B32" s="7"/>
      <c r="C32" s="7"/>
      <c r="D32" s="7"/>
      <c r="E32" s="7"/>
      <c r="F32" s="7"/>
      <c r="G32" s="7"/>
      <c r="H32" s="7"/>
      <c r="I32" s="7"/>
      <c r="J32" s="7"/>
      <c r="K32" s="7"/>
      <c r="L32" s="7"/>
      <c r="M32" s="7"/>
      <c r="N32" s="7"/>
    </row>
    <row r="33" spans="1:14" x14ac:dyDescent="0.2">
      <c r="A33" s="13" t="s">
        <v>223</v>
      </c>
      <c r="B33" s="9">
        <f>JanNet-SUM(B7:B11)+ PreviousAR</f>
        <v>0</v>
      </c>
      <c r="C33" s="9">
        <f>JanAR + FebNet-SUM(C7:C11)</f>
        <v>0</v>
      </c>
      <c r="D33" s="9">
        <f>FebAR + MarNet-SUM(D7:D11)</f>
        <v>0</v>
      </c>
      <c r="E33" s="9">
        <f>MarAR + AprNet-SUM(E7:E11)</f>
        <v>0</v>
      </c>
      <c r="F33" s="9">
        <f>AprAR + MayNet-SUM(F7:F11)</f>
        <v>0</v>
      </c>
      <c r="G33" s="9">
        <f>MayAR + JunNet-SUM(G7:G11)</f>
        <v>0</v>
      </c>
      <c r="H33" s="9">
        <f>JunAR + JulNet-SUM(H7:H11)</f>
        <v>0</v>
      </c>
      <c r="I33" s="9">
        <f>JulAR + AugNet-SUM(I7:I11)</f>
        <v>0</v>
      </c>
      <c r="J33" s="9">
        <f>AugAR + SepNet-SUM(J7:J11)</f>
        <v>0</v>
      </c>
      <c r="K33" s="9">
        <f>SepAR + OctNet-SUM(K7:K11)</f>
        <v>0</v>
      </c>
      <c r="L33" s="9">
        <f>OctAR + NovNet-SUM(L7:L11)</f>
        <v>0</v>
      </c>
      <c r="M33" s="9">
        <f>NovAR + DecNet-SUM(M7:M11)</f>
        <v>0</v>
      </c>
      <c r="N33" s="9"/>
    </row>
    <row r="34" spans="1:14" x14ac:dyDescent="0.2">
      <c r="A34" s="13" t="s">
        <v>204</v>
      </c>
      <c r="B34" s="26">
        <f>JanInventory</f>
        <v>0</v>
      </c>
      <c r="C34" s="26">
        <f>FebInventory</f>
        <v>0</v>
      </c>
      <c r="D34" s="26">
        <f>MarInventory</f>
        <v>0</v>
      </c>
      <c r="E34" s="26">
        <f>AprInventory</f>
        <v>0</v>
      </c>
      <c r="F34" s="26">
        <f>MayInventory</f>
        <v>0</v>
      </c>
      <c r="G34" s="26">
        <f>JunInventory</f>
        <v>0</v>
      </c>
      <c r="H34" s="26">
        <f>JulInventory</f>
        <v>0</v>
      </c>
      <c r="I34" s="26">
        <f>AugInventory</f>
        <v>0</v>
      </c>
      <c r="J34" s="26">
        <f>SepInventory</f>
        <v>0</v>
      </c>
      <c r="K34" s="26">
        <f>OctInventory</f>
        <v>0</v>
      </c>
      <c r="L34" s="26">
        <f>NovInventory</f>
        <v>0</v>
      </c>
      <c r="M34" s="26">
        <f>DecInventory</f>
        <v>0</v>
      </c>
      <c r="N34" s="7"/>
    </row>
    <row r="35" spans="1:14" x14ac:dyDescent="0.2">
      <c r="A35" s="72"/>
      <c r="B35" s="110"/>
      <c r="C35" s="110"/>
      <c r="D35" s="110"/>
      <c r="E35" s="110"/>
      <c r="F35" s="110"/>
      <c r="G35" s="110"/>
      <c r="H35" s="110"/>
      <c r="I35" s="110"/>
      <c r="J35" s="110"/>
      <c r="K35" s="110"/>
      <c r="L35" s="110"/>
      <c r="M35" s="110"/>
      <c r="N35" s="110"/>
    </row>
    <row r="36" spans="1:14" x14ac:dyDescent="0.2">
      <c r="A36" s="72"/>
      <c r="B36" s="72"/>
      <c r="C36" s="72"/>
      <c r="D36" s="72"/>
      <c r="E36" s="72"/>
      <c r="F36" s="72"/>
      <c r="G36" s="72"/>
      <c r="H36" s="72"/>
      <c r="I36" s="72"/>
      <c r="J36" s="72"/>
      <c r="K36" s="72"/>
      <c r="L36" s="72"/>
      <c r="M36" s="72"/>
      <c r="N36" s="72"/>
    </row>
    <row r="37" spans="1:14" x14ac:dyDescent="0.2">
      <c r="B37" s="72"/>
      <c r="C37" s="72"/>
      <c r="D37" s="72"/>
      <c r="E37" s="72"/>
      <c r="F37" s="72"/>
      <c r="G37" s="72"/>
      <c r="H37" s="94"/>
      <c r="I37" s="72"/>
      <c r="J37" s="72"/>
      <c r="K37" s="72"/>
      <c r="L37" s="72"/>
      <c r="M37" s="72"/>
      <c r="N37" s="72"/>
    </row>
    <row r="38" spans="1:14" x14ac:dyDescent="0.2">
      <c r="A38" s="72"/>
      <c r="B38" s="72"/>
      <c r="C38" s="72"/>
      <c r="D38" s="72"/>
      <c r="E38" s="72"/>
      <c r="F38" s="72"/>
      <c r="G38" s="72"/>
      <c r="H38" s="72"/>
      <c r="I38" s="72"/>
      <c r="J38" s="72"/>
      <c r="K38" s="72"/>
      <c r="L38" s="72"/>
      <c r="M38" s="72"/>
      <c r="N38" s="72"/>
    </row>
    <row r="39" spans="1:14" x14ac:dyDescent="0.2">
      <c r="A39" s="72"/>
      <c r="B39" s="72"/>
      <c r="C39" s="72"/>
      <c r="D39" s="72"/>
      <c r="E39" s="72"/>
      <c r="F39" s="72"/>
      <c r="G39" s="72"/>
      <c r="H39" s="72"/>
      <c r="I39" s="72"/>
      <c r="J39" s="72"/>
      <c r="K39" s="72"/>
      <c r="L39" s="72"/>
      <c r="M39" s="72"/>
      <c r="N39" s="72"/>
    </row>
  </sheetData>
  <mergeCells count="3">
    <mergeCell ref="A2:N2"/>
    <mergeCell ref="A3:N3"/>
    <mergeCell ref="A1:N1"/>
  </mergeCells>
  <phoneticPr fontId="2" type="noConversion"/>
  <pageMargins left="0.75" right="0.75" top="1" bottom="1" header="0.5" footer="0.5"/>
  <pageSetup scale="90" orientation="landscape" horizontalDpi="4294967293"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1"/>
  <sheetViews>
    <sheetView workbookViewId="0">
      <selection sqref="A1:N1"/>
    </sheetView>
  </sheetViews>
  <sheetFormatPr defaultRowHeight="12.75" x14ac:dyDescent="0.2"/>
  <cols>
    <col min="1" max="1" width="18.7109375" style="60" bestFit="1" customWidth="1"/>
    <col min="2" max="2" width="10.28515625" style="60" bestFit="1" customWidth="1"/>
    <col min="3" max="14" width="8.5703125" style="60" bestFit="1" customWidth="1"/>
    <col min="15" max="16384" width="9.140625" style="60"/>
  </cols>
  <sheetData>
    <row r="1" spans="1:18" ht="99.95" customHeight="1" x14ac:dyDescent="0.2">
      <c r="A1" s="200"/>
      <c r="B1" s="200"/>
      <c r="C1" s="200"/>
      <c r="D1" s="200"/>
      <c r="E1" s="200"/>
      <c r="F1" s="200"/>
      <c r="G1" s="200"/>
      <c r="H1" s="200"/>
      <c r="I1" s="200"/>
      <c r="J1" s="200"/>
      <c r="K1" s="200"/>
      <c r="L1" s="200"/>
      <c r="M1" s="200"/>
      <c r="N1" s="200"/>
    </row>
    <row r="2" spans="1:18" s="72" customFormat="1" ht="18" x14ac:dyDescent="0.25">
      <c r="A2" s="195" t="s">
        <v>181</v>
      </c>
      <c r="B2" s="195"/>
      <c r="C2" s="195"/>
      <c r="D2" s="195"/>
      <c r="E2" s="195"/>
      <c r="F2" s="195"/>
      <c r="G2" s="195"/>
      <c r="H2" s="196"/>
      <c r="I2" s="196"/>
      <c r="J2" s="196"/>
      <c r="K2" s="196"/>
      <c r="L2" s="196"/>
      <c r="M2" s="196"/>
      <c r="N2" s="196"/>
      <c r="O2" s="55"/>
      <c r="P2" s="55"/>
      <c r="Q2" s="56"/>
      <c r="R2" s="56"/>
    </row>
    <row r="3" spans="1:18" s="56" customFormat="1" ht="18" x14ac:dyDescent="0.25">
      <c r="A3" s="188" t="str">
        <f>CompanyHeader</f>
        <v>Your Company Name Here (2020 - 2021)</v>
      </c>
      <c r="B3" s="188"/>
      <c r="C3" s="190"/>
      <c r="D3" s="190"/>
      <c r="E3" s="190"/>
      <c r="F3" s="190"/>
      <c r="G3" s="190"/>
      <c r="H3" s="190"/>
      <c r="I3" s="190"/>
      <c r="J3" s="190"/>
      <c r="K3" s="190"/>
      <c r="L3" s="190"/>
      <c r="M3" s="190"/>
      <c r="N3" s="190"/>
    </row>
    <row r="4" spans="1:18" s="56" customFormat="1" x14ac:dyDescent="0.2">
      <c r="A4" s="197" t="s">
        <v>243</v>
      </c>
      <c r="B4" s="198"/>
      <c r="C4" s="198"/>
      <c r="D4" s="198"/>
      <c r="E4" s="198"/>
      <c r="F4" s="198"/>
      <c r="G4" s="198"/>
      <c r="H4" s="198"/>
      <c r="I4" s="198"/>
      <c r="J4" s="198"/>
      <c r="K4" s="198"/>
      <c r="L4" s="198"/>
      <c r="M4" s="198"/>
      <c r="N4" s="198"/>
    </row>
    <row r="5" spans="1:18" s="56" customFormat="1" x14ac:dyDescent="0.2">
      <c r="A5" s="199" t="s">
        <v>244</v>
      </c>
      <c r="B5" s="190"/>
      <c r="C5" s="190"/>
      <c r="D5" s="190"/>
      <c r="E5" s="190"/>
      <c r="F5" s="190"/>
      <c r="G5" s="190"/>
      <c r="H5" s="190"/>
      <c r="I5" s="190"/>
      <c r="J5" s="190"/>
      <c r="K5" s="190"/>
      <c r="L5" s="190"/>
      <c r="M5" s="190"/>
      <c r="N5" s="190"/>
    </row>
    <row r="6" spans="1:18" ht="13.5" thickBot="1" x14ac:dyDescent="0.25">
      <c r="A6" s="1"/>
      <c r="B6" s="63"/>
      <c r="C6" s="63"/>
      <c r="D6" s="63"/>
      <c r="E6" s="63"/>
      <c r="F6" s="63"/>
      <c r="G6" s="63"/>
      <c r="H6" s="63"/>
      <c r="I6" s="63"/>
      <c r="J6" s="63"/>
      <c r="K6" s="63"/>
      <c r="L6" s="63"/>
      <c r="M6" s="63"/>
      <c r="N6" s="63"/>
    </row>
    <row r="7" spans="1:18" s="121" customFormat="1" ht="13.5" thickBot="1" x14ac:dyDescent="0.25">
      <c r="A7" s="166"/>
      <c r="B7" s="147" t="s">
        <v>129</v>
      </c>
      <c r="C7" s="148" t="str">
        <f>Month1</f>
        <v>Jul</v>
      </c>
      <c r="D7" s="52" t="str">
        <f>Month2</f>
        <v>Aug</v>
      </c>
      <c r="E7" s="149" t="str">
        <f>Month3</f>
        <v>Sep</v>
      </c>
      <c r="F7" s="148" t="str">
        <f>Month4</f>
        <v>Oct</v>
      </c>
      <c r="G7" s="52" t="str">
        <f>Month5</f>
        <v>Nov</v>
      </c>
      <c r="H7" s="149" t="str">
        <f>Month6</f>
        <v>Dec</v>
      </c>
      <c r="I7" s="148" t="str">
        <f>Month7</f>
        <v>Jan</v>
      </c>
      <c r="J7" s="52" t="str">
        <f>Month8</f>
        <v>Feb</v>
      </c>
      <c r="K7" s="149" t="str">
        <f>Month9</f>
        <v>Mar</v>
      </c>
      <c r="L7" s="171" t="str">
        <f>Month10</f>
        <v>Apr</v>
      </c>
      <c r="M7" s="52" t="str">
        <f>Month11</f>
        <v>May</v>
      </c>
      <c r="N7" s="149" t="str">
        <f>Month12</f>
        <v>Jun</v>
      </c>
    </row>
    <row r="8" spans="1:18" hidden="1" x14ac:dyDescent="0.2">
      <c r="A8" s="167"/>
      <c r="B8" s="138"/>
      <c r="C8" s="142">
        <v>1</v>
      </c>
      <c r="D8" s="80">
        <v>2</v>
      </c>
      <c r="E8" s="143">
        <v>3</v>
      </c>
      <c r="F8" s="144">
        <v>4</v>
      </c>
      <c r="G8" s="82">
        <v>5</v>
      </c>
      <c r="H8" s="145">
        <v>6</v>
      </c>
      <c r="I8" s="144">
        <v>7</v>
      </c>
      <c r="J8" s="82">
        <v>8</v>
      </c>
      <c r="K8" s="145">
        <v>9</v>
      </c>
      <c r="L8" s="177">
        <v>10</v>
      </c>
      <c r="M8" s="82">
        <v>11</v>
      </c>
      <c r="N8" s="82">
        <v>12</v>
      </c>
    </row>
    <row r="9" spans="1:18" x14ac:dyDescent="0.2">
      <c r="A9" s="131" t="str">
        <f>"Existing: "&amp;ExistingName</f>
        <v>Existing: Loan #1</v>
      </c>
      <c r="B9" s="135"/>
      <c r="C9" s="129"/>
      <c r="D9" s="122"/>
      <c r="E9" s="130"/>
      <c r="F9" s="129"/>
      <c r="G9" s="122"/>
      <c r="H9" s="124"/>
      <c r="I9" s="146"/>
      <c r="J9" s="123"/>
      <c r="K9" s="124"/>
      <c r="L9" s="180"/>
      <c r="M9" s="123"/>
      <c r="N9" s="124"/>
    </row>
    <row r="10" spans="1:18" x14ac:dyDescent="0.2">
      <c r="A10" s="132" t="s">
        <v>130</v>
      </c>
      <c r="B10" s="136">
        <f>ExistingPrinciple</f>
        <v>0</v>
      </c>
      <c r="C10" s="140">
        <f t="shared" ref="C10:N10" si="0">IF(ExistingTerm&gt;0,IF(ExistingTerm&lt;=C$8,0,FV(ExistingRate/12,C$8,ExistingPayment*-1,ExistingPrinciple)*-1),ExistingPrinciple)</f>
        <v>0</v>
      </c>
      <c r="D10" s="61">
        <f t="shared" si="0"/>
        <v>0</v>
      </c>
      <c r="E10" s="126">
        <f t="shared" si="0"/>
        <v>0</v>
      </c>
      <c r="F10" s="140">
        <f t="shared" si="0"/>
        <v>0</v>
      </c>
      <c r="G10" s="61">
        <f t="shared" si="0"/>
        <v>0</v>
      </c>
      <c r="H10" s="126">
        <f t="shared" si="0"/>
        <v>0</v>
      </c>
      <c r="I10" s="140">
        <f t="shared" si="0"/>
        <v>0</v>
      </c>
      <c r="J10" s="61">
        <f t="shared" si="0"/>
        <v>0</v>
      </c>
      <c r="K10" s="126">
        <f t="shared" si="0"/>
        <v>0</v>
      </c>
      <c r="L10" s="173">
        <f t="shared" si="0"/>
        <v>0</v>
      </c>
      <c r="M10" s="61">
        <f t="shared" si="0"/>
        <v>0</v>
      </c>
      <c r="N10" s="126">
        <f t="shared" si="0"/>
        <v>0</v>
      </c>
    </row>
    <row r="11" spans="1:18" x14ac:dyDescent="0.2">
      <c r="A11" s="132" t="s">
        <v>128</v>
      </c>
      <c r="B11" s="136">
        <f>IF(ExistingTerm&gt;0,IF(ExistingTerm&lt;12,0,FV(ExistingRate/12,11,ExistingPayment*-1,ExistingPrinciple)*-1),ExistingPrinciple)</f>
        <v>0</v>
      </c>
      <c r="C11" s="140">
        <f t="shared" ref="C11:N11" si="1">IF(ExistingTerm&gt;0,IF(ExistingTerm&lt;C$8+12,0,FV(ExistingRate/12,C$8+11,ExistingPayment*-1,ExistingPrinciple)*-1),ExistingPrinciple)</f>
        <v>0</v>
      </c>
      <c r="D11" s="61">
        <f t="shared" si="1"/>
        <v>0</v>
      </c>
      <c r="E11" s="126">
        <f t="shared" si="1"/>
        <v>0</v>
      </c>
      <c r="F11" s="140">
        <f t="shared" si="1"/>
        <v>0</v>
      </c>
      <c r="G11" s="61">
        <f t="shared" si="1"/>
        <v>0</v>
      </c>
      <c r="H11" s="126">
        <f t="shared" si="1"/>
        <v>0</v>
      </c>
      <c r="I11" s="140">
        <f t="shared" si="1"/>
        <v>0</v>
      </c>
      <c r="J11" s="61">
        <f t="shared" si="1"/>
        <v>0</v>
      </c>
      <c r="K11" s="126">
        <f t="shared" si="1"/>
        <v>0</v>
      </c>
      <c r="L11" s="173">
        <f t="shared" si="1"/>
        <v>0</v>
      </c>
      <c r="M11" s="61">
        <f t="shared" si="1"/>
        <v>0</v>
      </c>
      <c r="N11" s="126">
        <f t="shared" si="1"/>
        <v>0</v>
      </c>
    </row>
    <row r="12" spans="1:18" x14ac:dyDescent="0.2">
      <c r="A12" s="132" t="s">
        <v>127</v>
      </c>
      <c r="B12" s="136">
        <f>B10-B11</f>
        <v>0</v>
      </c>
      <c r="C12" s="140">
        <f>C10-C11</f>
        <v>0</v>
      </c>
      <c r="D12" s="61">
        <f t="shared" ref="D12:N12" si="2">D10-D11</f>
        <v>0</v>
      </c>
      <c r="E12" s="126">
        <f t="shared" si="2"/>
        <v>0</v>
      </c>
      <c r="F12" s="140">
        <f t="shared" si="2"/>
        <v>0</v>
      </c>
      <c r="G12" s="61">
        <f t="shared" si="2"/>
        <v>0</v>
      </c>
      <c r="H12" s="126">
        <f t="shared" si="2"/>
        <v>0</v>
      </c>
      <c r="I12" s="140">
        <f t="shared" si="2"/>
        <v>0</v>
      </c>
      <c r="J12" s="61">
        <f t="shared" si="2"/>
        <v>0</v>
      </c>
      <c r="K12" s="126">
        <f t="shared" si="2"/>
        <v>0</v>
      </c>
      <c r="L12" s="173">
        <f t="shared" si="2"/>
        <v>0</v>
      </c>
      <c r="M12" s="61">
        <f t="shared" si="2"/>
        <v>0</v>
      </c>
      <c r="N12" s="126">
        <f t="shared" si="2"/>
        <v>0</v>
      </c>
    </row>
    <row r="13" spans="1:18" x14ac:dyDescent="0.2">
      <c r="A13" s="132" t="s">
        <v>123</v>
      </c>
      <c r="B13" s="136"/>
      <c r="C13" s="140">
        <f>B10-C10</f>
        <v>0</v>
      </c>
      <c r="D13" s="61">
        <f t="shared" ref="D13:N13" si="3">C10-D10</f>
        <v>0</v>
      </c>
      <c r="E13" s="126">
        <f t="shared" si="3"/>
        <v>0</v>
      </c>
      <c r="F13" s="140">
        <f t="shared" si="3"/>
        <v>0</v>
      </c>
      <c r="G13" s="61">
        <f t="shared" si="3"/>
        <v>0</v>
      </c>
      <c r="H13" s="126">
        <f t="shared" si="3"/>
        <v>0</v>
      </c>
      <c r="I13" s="140">
        <f t="shared" si="3"/>
        <v>0</v>
      </c>
      <c r="J13" s="61">
        <f t="shared" si="3"/>
        <v>0</v>
      </c>
      <c r="K13" s="126">
        <f t="shared" si="3"/>
        <v>0</v>
      </c>
      <c r="L13" s="173">
        <f t="shared" si="3"/>
        <v>0</v>
      </c>
      <c r="M13" s="61">
        <f t="shared" si="3"/>
        <v>0</v>
      </c>
      <c r="N13" s="126">
        <f t="shared" si="3"/>
        <v>0</v>
      </c>
    </row>
    <row r="14" spans="1:18" ht="13.5" thickBot="1" x14ac:dyDescent="0.25">
      <c r="A14" s="133" t="s">
        <v>124</v>
      </c>
      <c r="B14" s="137"/>
      <c r="C14" s="141">
        <f t="shared" ref="C14:N14" si="4">IF(ExistingTerm&gt;0,IF(ExistingTerm&lt;=C$8,0,ExistingPayment-C13),ExistingPayment)</f>
        <v>0</v>
      </c>
      <c r="D14" s="127">
        <f t="shared" si="4"/>
        <v>0</v>
      </c>
      <c r="E14" s="128">
        <f t="shared" si="4"/>
        <v>0</v>
      </c>
      <c r="F14" s="141">
        <f t="shared" si="4"/>
        <v>0</v>
      </c>
      <c r="G14" s="127">
        <f t="shared" si="4"/>
        <v>0</v>
      </c>
      <c r="H14" s="128">
        <f t="shared" si="4"/>
        <v>0</v>
      </c>
      <c r="I14" s="141">
        <f t="shared" si="4"/>
        <v>0</v>
      </c>
      <c r="J14" s="127">
        <f t="shared" si="4"/>
        <v>0</v>
      </c>
      <c r="K14" s="128">
        <f t="shared" si="4"/>
        <v>0</v>
      </c>
      <c r="L14" s="174">
        <f t="shared" si="4"/>
        <v>0</v>
      </c>
      <c r="M14" s="127">
        <f t="shared" si="4"/>
        <v>0</v>
      </c>
      <c r="N14" s="128">
        <f t="shared" si="4"/>
        <v>0</v>
      </c>
    </row>
    <row r="15" spans="1:18" x14ac:dyDescent="0.2">
      <c r="A15" s="131" t="str">
        <f>"Existing: "&amp;ExistingName2</f>
        <v>Existing: Loan #2</v>
      </c>
      <c r="B15" s="135"/>
      <c r="C15" s="129"/>
      <c r="D15" s="122"/>
      <c r="E15" s="130"/>
      <c r="F15" s="129"/>
      <c r="G15" s="122"/>
      <c r="H15" s="124"/>
      <c r="I15" s="146"/>
      <c r="J15" s="123"/>
      <c r="K15" s="124"/>
      <c r="L15" s="180"/>
      <c r="M15" s="123"/>
      <c r="N15" s="124"/>
    </row>
    <row r="16" spans="1:18" x14ac:dyDescent="0.2">
      <c r="A16" s="132" t="s">
        <v>130</v>
      </c>
      <c r="B16" s="136">
        <f>ExistingPrinciple2</f>
        <v>0</v>
      </c>
      <c r="C16" s="140">
        <f t="shared" ref="C16:N16" si="5">IF(ExistingTerm2&gt;0,IF(ExistingTerm2&lt;=C$8,0,FV(ExistingRate2/12,C$8,ExistingPayment2*-1,ExistingPrinciple2)*-1),ExistingPrinciple2)</f>
        <v>0</v>
      </c>
      <c r="D16" s="61">
        <f t="shared" si="5"/>
        <v>0</v>
      </c>
      <c r="E16" s="126">
        <f t="shared" si="5"/>
        <v>0</v>
      </c>
      <c r="F16" s="140">
        <f t="shared" si="5"/>
        <v>0</v>
      </c>
      <c r="G16" s="61">
        <f t="shared" si="5"/>
        <v>0</v>
      </c>
      <c r="H16" s="126">
        <f t="shared" si="5"/>
        <v>0</v>
      </c>
      <c r="I16" s="140">
        <f t="shared" si="5"/>
        <v>0</v>
      </c>
      <c r="J16" s="61">
        <f t="shared" si="5"/>
        <v>0</v>
      </c>
      <c r="K16" s="126">
        <f t="shared" si="5"/>
        <v>0</v>
      </c>
      <c r="L16" s="173">
        <f t="shared" si="5"/>
        <v>0</v>
      </c>
      <c r="M16" s="61">
        <f t="shared" si="5"/>
        <v>0</v>
      </c>
      <c r="N16" s="126">
        <f t="shared" si="5"/>
        <v>0</v>
      </c>
    </row>
    <row r="17" spans="1:14" x14ac:dyDescent="0.2">
      <c r="A17" s="132" t="s">
        <v>128</v>
      </c>
      <c r="B17" s="136">
        <f>IF(ExistingTerm2&gt;0,IF(ExistingTerm2&lt;12,0,FV(ExistingRate2/12,11,ExistingPayment2*-1,ExistingPrinciple2)*-1),ExistingPrinciple2)</f>
        <v>0</v>
      </c>
      <c r="C17" s="140">
        <f t="shared" ref="C17:N17" si="6">IF(ExistingTerm2&gt;0,IF(ExistingTerm2&lt;C$8+12,0,FV(ExistingRate2/12,C$8+11,ExistingPayment2*-1,ExistingPrinciple2)*-1),ExistingPrinciple2)</f>
        <v>0</v>
      </c>
      <c r="D17" s="61">
        <f t="shared" si="6"/>
        <v>0</v>
      </c>
      <c r="E17" s="126">
        <f t="shared" si="6"/>
        <v>0</v>
      </c>
      <c r="F17" s="140">
        <f t="shared" si="6"/>
        <v>0</v>
      </c>
      <c r="G17" s="61">
        <f t="shared" si="6"/>
        <v>0</v>
      </c>
      <c r="H17" s="126">
        <f t="shared" si="6"/>
        <v>0</v>
      </c>
      <c r="I17" s="140">
        <f t="shared" si="6"/>
        <v>0</v>
      </c>
      <c r="J17" s="61">
        <f t="shared" si="6"/>
        <v>0</v>
      </c>
      <c r="K17" s="126">
        <f t="shared" si="6"/>
        <v>0</v>
      </c>
      <c r="L17" s="173">
        <f t="shared" si="6"/>
        <v>0</v>
      </c>
      <c r="M17" s="61">
        <f t="shared" si="6"/>
        <v>0</v>
      </c>
      <c r="N17" s="126">
        <f t="shared" si="6"/>
        <v>0</v>
      </c>
    </row>
    <row r="18" spans="1:14" x14ac:dyDescent="0.2">
      <c r="A18" s="132" t="s">
        <v>127</v>
      </c>
      <c r="B18" s="136">
        <f t="shared" ref="B18:N18" si="7">B16-B17</f>
        <v>0</v>
      </c>
      <c r="C18" s="140">
        <f t="shared" si="7"/>
        <v>0</v>
      </c>
      <c r="D18" s="61">
        <f t="shared" si="7"/>
        <v>0</v>
      </c>
      <c r="E18" s="126">
        <f t="shared" si="7"/>
        <v>0</v>
      </c>
      <c r="F18" s="140">
        <f t="shared" si="7"/>
        <v>0</v>
      </c>
      <c r="G18" s="61">
        <f t="shared" si="7"/>
        <v>0</v>
      </c>
      <c r="H18" s="126">
        <f t="shared" si="7"/>
        <v>0</v>
      </c>
      <c r="I18" s="140">
        <f t="shared" si="7"/>
        <v>0</v>
      </c>
      <c r="J18" s="61">
        <f t="shared" si="7"/>
        <v>0</v>
      </c>
      <c r="K18" s="126">
        <f t="shared" si="7"/>
        <v>0</v>
      </c>
      <c r="L18" s="173">
        <f t="shared" si="7"/>
        <v>0</v>
      </c>
      <c r="M18" s="61">
        <f t="shared" si="7"/>
        <v>0</v>
      </c>
      <c r="N18" s="126">
        <f t="shared" si="7"/>
        <v>0</v>
      </c>
    </row>
    <row r="19" spans="1:14" x14ac:dyDescent="0.2">
      <c r="A19" s="132" t="s">
        <v>123</v>
      </c>
      <c r="B19" s="136"/>
      <c r="C19" s="140">
        <f t="shared" ref="C19:N19" si="8">B16-C16</f>
        <v>0</v>
      </c>
      <c r="D19" s="61">
        <f t="shared" si="8"/>
        <v>0</v>
      </c>
      <c r="E19" s="126">
        <f t="shared" si="8"/>
        <v>0</v>
      </c>
      <c r="F19" s="140">
        <f t="shared" si="8"/>
        <v>0</v>
      </c>
      <c r="G19" s="61">
        <f t="shared" si="8"/>
        <v>0</v>
      </c>
      <c r="H19" s="126">
        <f t="shared" si="8"/>
        <v>0</v>
      </c>
      <c r="I19" s="140">
        <f t="shared" si="8"/>
        <v>0</v>
      </c>
      <c r="J19" s="61">
        <f t="shared" si="8"/>
        <v>0</v>
      </c>
      <c r="K19" s="126">
        <f t="shared" si="8"/>
        <v>0</v>
      </c>
      <c r="L19" s="173">
        <f t="shared" si="8"/>
        <v>0</v>
      </c>
      <c r="M19" s="61">
        <f t="shared" si="8"/>
        <v>0</v>
      </c>
      <c r="N19" s="126">
        <f t="shared" si="8"/>
        <v>0</v>
      </c>
    </row>
    <row r="20" spans="1:14" ht="13.5" thickBot="1" x14ac:dyDescent="0.25">
      <c r="A20" s="133" t="s">
        <v>124</v>
      </c>
      <c r="B20" s="137"/>
      <c r="C20" s="141">
        <f t="shared" ref="C20:N20" si="9">IF(ExistingTerm2&gt;0,IF(ExistingTerm2&lt;=C$8,0,ExistingPayment2-C19),ExistingPayment2)</f>
        <v>0</v>
      </c>
      <c r="D20" s="127">
        <f t="shared" si="9"/>
        <v>0</v>
      </c>
      <c r="E20" s="128">
        <f t="shared" si="9"/>
        <v>0</v>
      </c>
      <c r="F20" s="141">
        <f t="shared" si="9"/>
        <v>0</v>
      </c>
      <c r="G20" s="127">
        <f t="shared" si="9"/>
        <v>0</v>
      </c>
      <c r="H20" s="128">
        <f t="shared" si="9"/>
        <v>0</v>
      </c>
      <c r="I20" s="141">
        <f t="shared" si="9"/>
        <v>0</v>
      </c>
      <c r="J20" s="127">
        <f t="shared" si="9"/>
        <v>0</v>
      </c>
      <c r="K20" s="128">
        <f t="shared" si="9"/>
        <v>0</v>
      </c>
      <c r="L20" s="174">
        <f t="shared" si="9"/>
        <v>0</v>
      </c>
      <c r="M20" s="127">
        <f t="shared" si="9"/>
        <v>0</v>
      </c>
      <c r="N20" s="128">
        <f t="shared" si="9"/>
        <v>0</v>
      </c>
    </row>
    <row r="21" spans="1:14" x14ac:dyDescent="0.2">
      <c r="A21" s="131" t="str">
        <f>"Existing: "&amp;ExistingName3</f>
        <v>Existing: Loan #3</v>
      </c>
      <c r="B21" s="135"/>
      <c r="C21" s="129"/>
      <c r="D21" s="122"/>
      <c r="E21" s="130"/>
      <c r="F21" s="129"/>
      <c r="G21" s="122"/>
      <c r="H21" s="124"/>
      <c r="I21" s="146"/>
      <c r="J21" s="123"/>
      <c r="K21" s="124"/>
      <c r="L21" s="180"/>
      <c r="M21" s="123"/>
      <c r="N21" s="124"/>
    </row>
    <row r="22" spans="1:14" x14ac:dyDescent="0.2">
      <c r="A22" s="132" t="s">
        <v>130</v>
      </c>
      <c r="B22" s="136">
        <f>ExistingPrinciple3</f>
        <v>0</v>
      </c>
      <c r="C22" s="140">
        <f t="shared" ref="C22:N22" si="10">IF(ExistingTerm3&gt;0,IF(ExistingTerm3&lt;=C$8,0,FV(ExistingRate3/12,C$8,ExistingPayment3*-1,ExistingPrinciple3)*-1),ExistingPrinciple3)</f>
        <v>0</v>
      </c>
      <c r="D22" s="61">
        <f t="shared" si="10"/>
        <v>0</v>
      </c>
      <c r="E22" s="126">
        <f t="shared" si="10"/>
        <v>0</v>
      </c>
      <c r="F22" s="140">
        <f t="shared" si="10"/>
        <v>0</v>
      </c>
      <c r="G22" s="61">
        <f t="shared" si="10"/>
        <v>0</v>
      </c>
      <c r="H22" s="126">
        <f t="shared" si="10"/>
        <v>0</v>
      </c>
      <c r="I22" s="140">
        <f t="shared" si="10"/>
        <v>0</v>
      </c>
      <c r="J22" s="61">
        <f t="shared" si="10"/>
        <v>0</v>
      </c>
      <c r="K22" s="126">
        <f t="shared" si="10"/>
        <v>0</v>
      </c>
      <c r="L22" s="173">
        <f t="shared" si="10"/>
        <v>0</v>
      </c>
      <c r="M22" s="61">
        <f t="shared" si="10"/>
        <v>0</v>
      </c>
      <c r="N22" s="126">
        <f t="shared" si="10"/>
        <v>0</v>
      </c>
    </row>
    <row r="23" spans="1:14" x14ac:dyDescent="0.2">
      <c r="A23" s="132" t="s">
        <v>128</v>
      </c>
      <c r="B23" s="136">
        <f>IF(ExistingTerm3&gt;0,IF(ExistingTerm3&lt;12,0,FV(ExistingRate3/12,11,ExistingPayment3*-1,ExistingPrinciple3)*-1),ExistingPrinciple3)</f>
        <v>0</v>
      </c>
      <c r="C23" s="140">
        <f t="shared" ref="C23:N23" si="11">IF(ExistingTerm3&gt;0,IF(ExistingTerm3&lt;C$8+12,0,FV(ExistingRate3/12,C$8+11,ExistingPayment3*-1,ExistingPrinciple3)*-1),ExistingPrinciple3)</f>
        <v>0</v>
      </c>
      <c r="D23" s="61">
        <f t="shared" si="11"/>
        <v>0</v>
      </c>
      <c r="E23" s="126">
        <f t="shared" si="11"/>
        <v>0</v>
      </c>
      <c r="F23" s="140">
        <f t="shared" si="11"/>
        <v>0</v>
      </c>
      <c r="G23" s="61">
        <f t="shared" si="11"/>
        <v>0</v>
      </c>
      <c r="H23" s="126">
        <f t="shared" si="11"/>
        <v>0</v>
      </c>
      <c r="I23" s="140">
        <f t="shared" si="11"/>
        <v>0</v>
      </c>
      <c r="J23" s="61">
        <f t="shared" si="11"/>
        <v>0</v>
      </c>
      <c r="K23" s="126">
        <f t="shared" si="11"/>
        <v>0</v>
      </c>
      <c r="L23" s="173">
        <f t="shared" si="11"/>
        <v>0</v>
      </c>
      <c r="M23" s="61">
        <f t="shared" si="11"/>
        <v>0</v>
      </c>
      <c r="N23" s="126">
        <f t="shared" si="11"/>
        <v>0</v>
      </c>
    </row>
    <row r="24" spans="1:14" x14ac:dyDescent="0.2">
      <c r="A24" s="132" t="s">
        <v>127</v>
      </c>
      <c r="B24" s="136">
        <f t="shared" ref="B24:N24" si="12">B22-B23</f>
        <v>0</v>
      </c>
      <c r="C24" s="140">
        <f t="shared" si="12"/>
        <v>0</v>
      </c>
      <c r="D24" s="61">
        <f t="shared" si="12"/>
        <v>0</v>
      </c>
      <c r="E24" s="126">
        <f t="shared" si="12"/>
        <v>0</v>
      </c>
      <c r="F24" s="140">
        <f t="shared" si="12"/>
        <v>0</v>
      </c>
      <c r="G24" s="61">
        <f t="shared" si="12"/>
        <v>0</v>
      </c>
      <c r="H24" s="126">
        <f t="shared" si="12"/>
        <v>0</v>
      </c>
      <c r="I24" s="140">
        <f t="shared" si="12"/>
        <v>0</v>
      </c>
      <c r="J24" s="61">
        <f t="shared" si="12"/>
        <v>0</v>
      </c>
      <c r="K24" s="126">
        <f t="shared" si="12"/>
        <v>0</v>
      </c>
      <c r="L24" s="173">
        <f t="shared" si="12"/>
        <v>0</v>
      </c>
      <c r="M24" s="61">
        <f t="shared" si="12"/>
        <v>0</v>
      </c>
      <c r="N24" s="126">
        <f t="shared" si="12"/>
        <v>0</v>
      </c>
    </row>
    <row r="25" spans="1:14" x14ac:dyDescent="0.2">
      <c r="A25" s="132" t="s">
        <v>123</v>
      </c>
      <c r="B25" s="136"/>
      <c r="C25" s="140">
        <f t="shared" ref="C25:N25" si="13">B22-C22</f>
        <v>0</v>
      </c>
      <c r="D25" s="61">
        <f t="shared" si="13"/>
        <v>0</v>
      </c>
      <c r="E25" s="126">
        <f t="shared" si="13"/>
        <v>0</v>
      </c>
      <c r="F25" s="140">
        <f t="shared" si="13"/>
        <v>0</v>
      </c>
      <c r="G25" s="61">
        <f t="shared" si="13"/>
        <v>0</v>
      </c>
      <c r="H25" s="126">
        <f t="shared" si="13"/>
        <v>0</v>
      </c>
      <c r="I25" s="140">
        <f t="shared" si="13"/>
        <v>0</v>
      </c>
      <c r="J25" s="61">
        <f t="shared" si="13"/>
        <v>0</v>
      </c>
      <c r="K25" s="126">
        <f t="shared" si="13"/>
        <v>0</v>
      </c>
      <c r="L25" s="173">
        <f t="shared" si="13"/>
        <v>0</v>
      </c>
      <c r="M25" s="61">
        <f t="shared" si="13"/>
        <v>0</v>
      </c>
      <c r="N25" s="126">
        <f t="shared" si="13"/>
        <v>0</v>
      </c>
    </row>
    <row r="26" spans="1:14" ht="13.5" thickBot="1" x14ac:dyDescent="0.25">
      <c r="A26" s="133" t="s">
        <v>124</v>
      </c>
      <c r="B26" s="137"/>
      <c r="C26" s="141">
        <f t="shared" ref="C26:N26" si="14">IF(ExistingTerm3&gt;0,IF(ExistingTerm3&lt;=C$8,0,ExistingPayment3-C25),ExistingPayment3)</f>
        <v>0</v>
      </c>
      <c r="D26" s="127">
        <f t="shared" si="14"/>
        <v>0</v>
      </c>
      <c r="E26" s="128">
        <f t="shared" si="14"/>
        <v>0</v>
      </c>
      <c r="F26" s="141">
        <f t="shared" si="14"/>
        <v>0</v>
      </c>
      <c r="G26" s="127">
        <f t="shared" si="14"/>
        <v>0</v>
      </c>
      <c r="H26" s="128">
        <f t="shared" si="14"/>
        <v>0</v>
      </c>
      <c r="I26" s="141">
        <f t="shared" si="14"/>
        <v>0</v>
      </c>
      <c r="J26" s="127">
        <f t="shared" si="14"/>
        <v>0</v>
      </c>
      <c r="K26" s="128">
        <f t="shared" si="14"/>
        <v>0</v>
      </c>
      <c r="L26" s="174">
        <f t="shared" si="14"/>
        <v>0</v>
      </c>
      <c r="M26" s="127">
        <f t="shared" si="14"/>
        <v>0</v>
      </c>
      <c r="N26" s="128">
        <f t="shared" si="14"/>
        <v>0</v>
      </c>
    </row>
    <row r="27" spans="1:14" x14ac:dyDescent="0.2">
      <c r="A27" s="131" t="str">
        <f>"Existing: "&amp;ExistingName4</f>
        <v>Existing: Loan #4</v>
      </c>
      <c r="B27" s="135"/>
      <c r="C27" s="129"/>
      <c r="D27" s="122"/>
      <c r="E27" s="130"/>
      <c r="F27" s="129"/>
      <c r="G27" s="122"/>
      <c r="H27" s="124"/>
      <c r="I27" s="146"/>
      <c r="J27" s="123"/>
      <c r="K27" s="124"/>
      <c r="L27" s="180"/>
      <c r="M27" s="123"/>
      <c r="N27" s="124"/>
    </row>
    <row r="28" spans="1:14" x14ac:dyDescent="0.2">
      <c r="A28" s="132" t="s">
        <v>130</v>
      </c>
      <c r="B28" s="136">
        <f>ExistingPrinciple4</f>
        <v>0</v>
      </c>
      <c r="C28" s="140">
        <f t="shared" ref="C28:N28" si="15">IF(ExistingTerm4&gt;0,IF(ExistingTerm4&lt;=C$8,0,FV(ExistingRate4/12,C$8,ExistingPayment4*-1,ExistingPrinciple4)*-1),ExistingPrinciple4)</f>
        <v>0</v>
      </c>
      <c r="D28" s="61">
        <f t="shared" si="15"/>
        <v>0</v>
      </c>
      <c r="E28" s="126">
        <f t="shared" si="15"/>
        <v>0</v>
      </c>
      <c r="F28" s="140">
        <f t="shared" si="15"/>
        <v>0</v>
      </c>
      <c r="G28" s="61">
        <f t="shared" si="15"/>
        <v>0</v>
      </c>
      <c r="H28" s="126">
        <f t="shared" si="15"/>
        <v>0</v>
      </c>
      <c r="I28" s="140">
        <f t="shared" si="15"/>
        <v>0</v>
      </c>
      <c r="J28" s="61">
        <f t="shared" si="15"/>
        <v>0</v>
      </c>
      <c r="K28" s="126">
        <f t="shared" si="15"/>
        <v>0</v>
      </c>
      <c r="L28" s="173">
        <f t="shared" si="15"/>
        <v>0</v>
      </c>
      <c r="M28" s="61">
        <f t="shared" si="15"/>
        <v>0</v>
      </c>
      <c r="N28" s="126">
        <f t="shared" si="15"/>
        <v>0</v>
      </c>
    </row>
    <row r="29" spans="1:14" x14ac:dyDescent="0.2">
      <c r="A29" s="132" t="s">
        <v>128</v>
      </c>
      <c r="B29" s="136">
        <f>IF(ExistingTerm4&gt;0,IF(ExistingTerm4&lt;12,0,FV(ExistingRate4/12,11,ExistingPayment4*-1,ExistingPrinciple4)*-1),ExistingPrinciple4)</f>
        <v>0</v>
      </c>
      <c r="C29" s="140">
        <f t="shared" ref="C29:N29" si="16">IF(ExistingTerm4&gt;0,IF(ExistingTerm4&lt;C$8+12,0,FV(ExistingRate4/12,C$8+11,ExistingPayment4*-1,ExistingPrinciple4)*-1),ExistingPrinciple4)</f>
        <v>0</v>
      </c>
      <c r="D29" s="61">
        <f t="shared" si="16"/>
        <v>0</v>
      </c>
      <c r="E29" s="126">
        <f t="shared" si="16"/>
        <v>0</v>
      </c>
      <c r="F29" s="140">
        <f t="shared" si="16"/>
        <v>0</v>
      </c>
      <c r="G29" s="61">
        <f t="shared" si="16"/>
        <v>0</v>
      </c>
      <c r="H29" s="126">
        <f t="shared" si="16"/>
        <v>0</v>
      </c>
      <c r="I29" s="140">
        <f t="shared" si="16"/>
        <v>0</v>
      </c>
      <c r="J29" s="61">
        <f t="shared" si="16"/>
        <v>0</v>
      </c>
      <c r="K29" s="126">
        <f t="shared" si="16"/>
        <v>0</v>
      </c>
      <c r="L29" s="173">
        <f t="shared" si="16"/>
        <v>0</v>
      </c>
      <c r="M29" s="61">
        <f t="shared" si="16"/>
        <v>0</v>
      </c>
      <c r="N29" s="126">
        <f t="shared" si="16"/>
        <v>0</v>
      </c>
    </row>
    <row r="30" spans="1:14" x14ac:dyDescent="0.2">
      <c r="A30" s="132" t="s">
        <v>127</v>
      </c>
      <c r="B30" s="136">
        <f t="shared" ref="B30:N30" si="17">B28-B29</f>
        <v>0</v>
      </c>
      <c r="C30" s="140">
        <f t="shared" si="17"/>
        <v>0</v>
      </c>
      <c r="D30" s="61">
        <f t="shared" si="17"/>
        <v>0</v>
      </c>
      <c r="E30" s="126">
        <f t="shared" si="17"/>
        <v>0</v>
      </c>
      <c r="F30" s="140">
        <f t="shared" si="17"/>
        <v>0</v>
      </c>
      <c r="G30" s="61">
        <f t="shared" si="17"/>
        <v>0</v>
      </c>
      <c r="H30" s="126">
        <f t="shared" si="17"/>
        <v>0</v>
      </c>
      <c r="I30" s="140">
        <f t="shared" si="17"/>
        <v>0</v>
      </c>
      <c r="J30" s="61">
        <f t="shared" si="17"/>
        <v>0</v>
      </c>
      <c r="K30" s="126">
        <f t="shared" si="17"/>
        <v>0</v>
      </c>
      <c r="L30" s="173">
        <f t="shared" si="17"/>
        <v>0</v>
      </c>
      <c r="M30" s="61">
        <f t="shared" si="17"/>
        <v>0</v>
      </c>
      <c r="N30" s="126">
        <f t="shared" si="17"/>
        <v>0</v>
      </c>
    </row>
    <row r="31" spans="1:14" x14ac:dyDescent="0.2">
      <c r="A31" s="132" t="s">
        <v>123</v>
      </c>
      <c r="B31" s="136"/>
      <c r="C31" s="140">
        <f t="shared" ref="C31:N31" si="18">B28-C28</f>
        <v>0</v>
      </c>
      <c r="D31" s="61">
        <f t="shared" si="18"/>
        <v>0</v>
      </c>
      <c r="E31" s="126">
        <f t="shared" si="18"/>
        <v>0</v>
      </c>
      <c r="F31" s="140">
        <f t="shared" si="18"/>
        <v>0</v>
      </c>
      <c r="G31" s="61">
        <f t="shared" si="18"/>
        <v>0</v>
      </c>
      <c r="H31" s="126">
        <f t="shared" si="18"/>
        <v>0</v>
      </c>
      <c r="I31" s="140">
        <f t="shared" si="18"/>
        <v>0</v>
      </c>
      <c r="J31" s="61">
        <f t="shared" si="18"/>
        <v>0</v>
      </c>
      <c r="K31" s="126">
        <f t="shared" si="18"/>
        <v>0</v>
      </c>
      <c r="L31" s="173">
        <f t="shared" si="18"/>
        <v>0</v>
      </c>
      <c r="M31" s="61">
        <f t="shared" si="18"/>
        <v>0</v>
      </c>
      <c r="N31" s="126">
        <f t="shared" si="18"/>
        <v>0</v>
      </c>
    </row>
    <row r="32" spans="1:14" ht="13.5" thickBot="1" x14ac:dyDescent="0.25">
      <c r="A32" s="133" t="s">
        <v>124</v>
      </c>
      <c r="B32" s="137"/>
      <c r="C32" s="141">
        <f t="shared" ref="C32:N32" si="19">IF(ExistingTerm4&gt;0,IF(ExistingTerm4&lt;=C$8,0,ExistingPayment4-C31),ExistingPayment4)</f>
        <v>0</v>
      </c>
      <c r="D32" s="127">
        <f t="shared" si="19"/>
        <v>0</v>
      </c>
      <c r="E32" s="128">
        <f t="shared" si="19"/>
        <v>0</v>
      </c>
      <c r="F32" s="141">
        <f t="shared" si="19"/>
        <v>0</v>
      </c>
      <c r="G32" s="127">
        <f t="shared" si="19"/>
        <v>0</v>
      </c>
      <c r="H32" s="128">
        <f t="shared" si="19"/>
        <v>0</v>
      </c>
      <c r="I32" s="141">
        <f t="shared" si="19"/>
        <v>0</v>
      </c>
      <c r="J32" s="127">
        <f t="shared" si="19"/>
        <v>0</v>
      </c>
      <c r="K32" s="128">
        <f t="shared" si="19"/>
        <v>0</v>
      </c>
      <c r="L32" s="174">
        <f t="shared" si="19"/>
        <v>0</v>
      </c>
      <c r="M32" s="127">
        <f t="shared" si="19"/>
        <v>0</v>
      </c>
      <c r="N32" s="128">
        <f t="shared" si="19"/>
        <v>0</v>
      </c>
    </row>
    <row r="33" spans="1:14" x14ac:dyDescent="0.2">
      <c r="A33" s="131" t="str">
        <f>"Existing: "&amp;ExistingName5</f>
        <v>Existing: Loan #5</v>
      </c>
      <c r="B33" s="135"/>
      <c r="C33" s="129"/>
      <c r="D33" s="122"/>
      <c r="E33" s="130"/>
      <c r="F33" s="129"/>
      <c r="G33" s="122"/>
      <c r="H33" s="124"/>
      <c r="I33" s="146"/>
      <c r="J33" s="123"/>
      <c r="K33" s="124"/>
      <c r="L33" s="180"/>
      <c r="M33" s="123"/>
      <c r="N33" s="124"/>
    </row>
    <row r="34" spans="1:14" x14ac:dyDescent="0.2">
      <c r="A34" s="132" t="s">
        <v>130</v>
      </c>
      <c r="B34" s="136">
        <f>ExistingPrinciple5</f>
        <v>0</v>
      </c>
      <c r="C34" s="140">
        <f t="shared" ref="C34:N34" si="20">IF(ExistingTerm5&gt;0,IF(ExistingTerm5&lt;=C$8,0,FV(ExistingRate5/12,C$8,ExistingPayment5*-1,ExistingPrinciple5)*-1),ExistingPrinciple5)</f>
        <v>0</v>
      </c>
      <c r="D34" s="61">
        <f t="shared" si="20"/>
        <v>0</v>
      </c>
      <c r="E34" s="126">
        <f t="shared" si="20"/>
        <v>0</v>
      </c>
      <c r="F34" s="140">
        <f t="shared" si="20"/>
        <v>0</v>
      </c>
      <c r="G34" s="61">
        <f t="shared" si="20"/>
        <v>0</v>
      </c>
      <c r="H34" s="126">
        <f t="shared" si="20"/>
        <v>0</v>
      </c>
      <c r="I34" s="140">
        <f t="shared" si="20"/>
        <v>0</v>
      </c>
      <c r="J34" s="61">
        <f t="shared" si="20"/>
        <v>0</v>
      </c>
      <c r="K34" s="126">
        <f t="shared" si="20"/>
        <v>0</v>
      </c>
      <c r="L34" s="173">
        <f t="shared" si="20"/>
        <v>0</v>
      </c>
      <c r="M34" s="61">
        <f t="shared" si="20"/>
        <v>0</v>
      </c>
      <c r="N34" s="126">
        <f t="shared" si="20"/>
        <v>0</v>
      </c>
    </row>
    <row r="35" spans="1:14" x14ac:dyDescent="0.2">
      <c r="A35" s="132" t="s">
        <v>128</v>
      </c>
      <c r="B35" s="136">
        <f>IF(ExistingTerm5&gt;0,IF(ExistingTerm5&lt;12,0,FV(ExistingRate5/12,11,ExistingPayment5*-1,ExistingPrinciple5)*-1),ExistingPrinciple5)</f>
        <v>0</v>
      </c>
      <c r="C35" s="140">
        <f t="shared" ref="C35:N35" si="21">IF(ExistingTerm5&gt;0,IF(ExistingTerm5&lt;C$8+12,0,FV(ExistingRate5/12,C$8+11,ExistingPayment5*-1,ExistingPrinciple5)*-1),ExistingPrinciple5)</f>
        <v>0</v>
      </c>
      <c r="D35" s="61">
        <f t="shared" si="21"/>
        <v>0</v>
      </c>
      <c r="E35" s="126">
        <f t="shared" si="21"/>
        <v>0</v>
      </c>
      <c r="F35" s="140">
        <f t="shared" si="21"/>
        <v>0</v>
      </c>
      <c r="G35" s="61">
        <f t="shared" si="21"/>
        <v>0</v>
      </c>
      <c r="H35" s="126">
        <f t="shared" si="21"/>
        <v>0</v>
      </c>
      <c r="I35" s="140">
        <f t="shared" si="21"/>
        <v>0</v>
      </c>
      <c r="J35" s="61">
        <f t="shared" si="21"/>
        <v>0</v>
      </c>
      <c r="K35" s="126">
        <f t="shared" si="21"/>
        <v>0</v>
      </c>
      <c r="L35" s="173">
        <f t="shared" si="21"/>
        <v>0</v>
      </c>
      <c r="M35" s="61">
        <f t="shared" si="21"/>
        <v>0</v>
      </c>
      <c r="N35" s="126">
        <f t="shared" si="21"/>
        <v>0</v>
      </c>
    </row>
    <row r="36" spans="1:14" x14ac:dyDescent="0.2">
      <c r="A36" s="132" t="s">
        <v>127</v>
      </c>
      <c r="B36" s="136">
        <f t="shared" ref="B36:N36" si="22">B34-B35</f>
        <v>0</v>
      </c>
      <c r="C36" s="140">
        <f t="shared" si="22"/>
        <v>0</v>
      </c>
      <c r="D36" s="61">
        <f t="shared" si="22"/>
        <v>0</v>
      </c>
      <c r="E36" s="126">
        <f t="shared" si="22"/>
        <v>0</v>
      </c>
      <c r="F36" s="140">
        <f t="shared" si="22"/>
        <v>0</v>
      </c>
      <c r="G36" s="61">
        <f t="shared" si="22"/>
        <v>0</v>
      </c>
      <c r="H36" s="126">
        <f t="shared" si="22"/>
        <v>0</v>
      </c>
      <c r="I36" s="140">
        <f t="shared" si="22"/>
        <v>0</v>
      </c>
      <c r="J36" s="61">
        <f t="shared" si="22"/>
        <v>0</v>
      </c>
      <c r="K36" s="126">
        <f t="shared" si="22"/>
        <v>0</v>
      </c>
      <c r="L36" s="173">
        <f t="shared" si="22"/>
        <v>0</v>
      </c>
      <c r="M36" s="61">
        <f t="shared" si="22"/>
        <v>0</v>
      </c>
      <c r="N36" s="126">
        <f t="shared" si="22"/>
        <v>0</v>
      </c>
    </row>
    <row r="37" spans="1:14" x14ac:dyDescent="0.2">
      <c r="A37" s="132" t="s">
        <v>123</v>
      </c>
      <c r="B37" s="136"/>
      <c r="C37" s="140">
        <f t="shared" ref="C37:N37" si="23">B34-C34</f>
        <v>0</v>
      </c>
      <c r="D37" s="61">
        <f t="shared" si="23"/>
        <v>0</v>
      </c>
      <c r="E37" s="126">
        <f t="shared" si="23"/>
        <v>0</v>
      </c>
      <c r="F37" s="140">
        <f t="shared" si="23"/>
        <v>0</v>
      </c>
      <c r="G37" s="61">
        <f t="shared" si="23"/>
        <v>0</v>
      </c>
      <c r="H37" s="126">
        <f t="shared" si="23"/>
        <v>0</v>
      </c>
      <c r="I37" s="140">
        <f t="shared" si="23"/>
        <v>0</v>
      </c>
      <c r="J37" s="61">
        <f t="shared" si="23"/>
        <v>0</v>
      </c>
      <c r="K37" s="126">
        <f t="shared" si="23"/>
        <v>0</v>
      </c>
      <c r="L37" s="173">
        <f t="shared" si="23"/>
        <v>0</v>
      </c>
      <c r="M37" s="61">
        <f t="shared" si="23"/>
        <v>0</v>
      </c>
      <c r="N37" s="126">
        <f t="shared" si="23"/>
        <v>0</v>
      </c>
    </row>
    <row r="38" spans="1:14" ht="13.5" thickBot="1" x14ac:dyDescent="0.25">
      <c r="A38" s="133" t="s">
        <v>124</v>
      </c>
      <c r="B38" s="137"/>
      <c r="C38" s="141">
        <f t="shared" ref="C38:N38" si="24">IF(ExistingTerm5&gt;0,IF(ExistingTerm5&lt;=C$8,0,ExistingPayment5-C37),ExistingPayment5)</f>
        <v>0</v>
      </c>
      <c r="D38" s="127">
        <f t="shared" si="24"/>
        <v>0</v>
      </c>
      <c r="E38" s="128">
        <f t="shared" si="24"/>
        <v>0</v>
      </c>
      <c r="F38" s="141">
        <f t="shared" si="24"/>
        <v>0</v>
      </c>
      <c r="G38" s="127">
        <f t="shared" si="24"/>
        <v>0</v>
      </c>
      <c r="H38" s="128">
        <f t="shared" si="24"/>
        <v>0</v>
      </c>
      <c r="I38" s="141">
        <f t="shared" si="24"/>
        <v>0</v>
      </c>
      <c r="J38" s="127">
        <f t="shared" si="24"/>
        <v>0</v>
      </c>
      <c r="K38" s="128">
        <f t="shared" si="24"/>
        <v>0</v>
      </c>
      <c r="L38" s="174">
        <f t="shared" si="24"/>
        <v>0</v>
      </c>
      <c r="M38" s="127">
        <f t="shared" si="24"/>
        <v>0</v>
      </c>
      <c r="N38" s="128">
        <f t="shared" si="24"/>
        <v>0</v>
      </c>
    </row>
    <row r="39" spans="1:14" x14ac:dyDescent="0.2">
      <c r="A39" s="131" t="str">
        <f>"Loan taken in " &amp;Month1</f>
        <v>Loan taken in Jul</v>
      </c>
      <c r="B39" s="135"/>
      <c r="C39" s="129"/>
      <c r="D39" s="122"/>
      <c r="E39" s="130"/>
      <c r="F39" s="129"/>
      <c r="G39" s="122"/>
      <c r="H39" s="124"/>
      <c r="I39" s="146"/>
      <c r="J39" s="123"/>
      <c r="K39" s="124"/>
      <c r="L39" s="180"/>
      <c r="M39" s="123"/>
      <c r="N39" s="124"/>
    </row>
    <row r="40" spans="1:14" x14ac:dyDescent="0.2">
      <c r="A40" s="132" t="s">
        <v>130</v>
      </c>
      <c r="B40" s="136"/>
      <c r="C40" s="140">
        <f>JanPrinciple</f>
        <v>0</v>
      </c>
      <c r="D40" s="61">
        <f>IF(JanTerm&gt;0,IF(JanTerm&lt;=#REF!,0,FV(JanRate/12,#REF!,JanPayment*-1,JanPrinciple)*-1),JanPrinciple)</f>
        <v>0</v>
      </c>
      <c r="E40" s="126">
        <f>IF(JanTerm&gt;0,IF(JanTerm&lt;=#REF!,0,FV(JanRate/12,#REF!,JanPayment*-1,JanPrinciple)*-1),JanPrinciple)</f>
        <v>0</v>
      </c>
      <c r="F40" s="140">
        <f>IF(JanTerm&gt;0,IF(JanTerm&lt;=#REF!,0,FV(JanRate/12,#REF!,JanPayment*-1,JanPrinciple)*-1),JanPrinciple)</f>
        <v>0</v>
      </c>
      <c r="G40" s="61">
        <f>IF(JanTerm&gt;0,IF(JanTerm&lt;=#REF!,0,FV(JanRate/12,#REF!,JanPayment*-1,JanPrinciple)*-1),JanPrinciple)</f>
        <v>0</v>
      </c>
      <c r="H40" s="126">
        <f>IF(JanTerm&gt;0,IF(JanTerm&lt;=#REF!,0,FV(JanRate/12,#REF!,JanPayment*-1,JanPrinciple)*-1),JanPrinciple)</f>
        <v>0</v>
      </c>
      <c r="I40" s="140">
        <f>IF(JanTerm&gt;0,IF(JanTerm&lt;=#REF!,0,FV(JanRate/12,#REF!,JanPayment*-1,JanPrinciple)*-1),JanPrinciple)</f>
        <v>0</v>
      </c>
      <c r="J40" s="61">
        <f>IF(JanTerm&gt;0,IF(JanTerm&lt;=#REF!,0,FV(JanRate/12,#REF!,JanPayment*-1,JanPrinciple)*-1),JanPrinciple)</f>
        <v>0</v>
      </c>
      <c r="K40" s="126">
        <f>IF(JanTerm&gt;0,IF(JanTerm&lt;=#REF!,0,FV(JanRate/12,#REF!,JanPayment*-1,JanPrinciple)*-1),JanPrinciple)</f>
        <v>0</v>
      </c>
      <c r="L40" s="173">
        <f>IF(JanTerm&gt;0,IF(JanTerm&lt;=#REF!,0,FV(JanRate/12,#REF!,JanPayment*-1,JanPrinciple)*-1),JanPrinciple)</f>
        <v>0</v>
      </c>
      <c r="M40" s="61">
        <f>IF(JanTerm&gt;0,IF(JanTerm&lt;=#REF!,0,FV(JanRate/12,#REF!,JanPayment*-1,JanPrinciple)*-1),JanPrinciple)</f>
        <v>0</v>
      </c>
      <c r="N40" s="126">
        <f>IF(JanTerm&gt;0,IF(JanTerm&lt;=#REF!,0,FV(JanRate/12,#REF!,JanPayment*-1,JanPrinciple)*-1),JanPrinciple)</f>
        <v>0</v>
      </c>
    </row>
    <row r="41" spans="1:14" x14ac:dyDescent="0.2">
      <c r="A41" s="132" t="s">
        <v>128</v>
      </c>
      <c r="B41" s="136"/>
      <c r="C41" s="140">
        <f>IF(JanTerm&gt;0,IF(JanTerm&lt;12,0,FV(JanRate/12,11,JanPayment*-1,JanPrinciple)*-1),JanPrinciple)</f>
        <v>0</v>
      </c>
      <c r="D41" s="61">
        <f>IF(JanTerm&gt;0,IF(JanTerm&lt;#REF!+12,0,FV(JanRate/12,#REF!+11,JanPayment*-1,JanPrinciple)*-1),JanPrinciple)</f>
        <v>0</v>
      </c>
      <c r="E41" s="126">
        <f>IF(JanTerm&gt;0,IF(JanTerm&lt;#REF!+12,0,FV(JanRate/12,#REF!+11,JanPayment*-1,JanPrinciple)*-1),JanPrinciple)</f>
        <v>0</v>
      </c>
      <c r="F41" s="140">
        <f>IF(JanTerm&gt;0,IF(JanTerm&lt;#REF!+12,0,FV(JanRate/12,#REF!+11,JanPayment*-1,JanPrinciple)*-1),JanPrinciple)</f>
        <v>0</v>
      </c>
      <c r="G41" s="61">
        <f>IF(JanTerm&gt;0,IF(JanTerm&lt;#REF!+12,0,FV(JanRate/12,#REF!+11,JanPayment*-1,JanPrinciple)*-1),JanPrinciple)</f>
        <v>0</v>
      </c>
      <c r="H41" s="126">
        <f>IF(JanTerm&gt;0,IF(JanTerm&lt;#REF!+12,0,FV(JanRate/12,#REF!+11,JanPayment*-1,JanPrinciple)*-1),JanPrinciple)</f>
        <v>0</v>
      </c>
      <c r="I41" s="140">
        <f>IF(JanTerm&gt;0,IF(JanTerm&lt;#REF!+12,0,FV(JanRate/12,#REF!+11,JanPayment*-1,JanPrinciple)*-1),JanPrinciple)</f>
        <v>0</v>
      </c>
      <c r="J41" s="61">
        <f>IF(JanTerm&gt;0,IF(JanTerm&lt;#REF!+12,0,FV(JanRate/12,#REF!+11,JanPayment*-1,JanPrinciple)*-1),JanPrinciple)</f>
        <v>0</v>
      </c>
      <c r="K41" s="126">
        <f>IF(JanTerm&gt;0,IF(JanTerm&lt;#REF!+12,0,FV(JanRate/12,#REF!+11,JanPayment*-1,JanPrinciple)*-1),JanPrinciple)</f>
        <v>0</v>
      </c>
      <c r="L41" s="173">
        <f>IF(JanTerm&gt;0,IF(JanTerm&lt;#REF!+12,0,FV(JanRate/12,#REF!+11,JanPayment*-1,JanPrinciple)*-1),JanPrinciple)</f>
        <v>0</v>
      </c>
      <c r="M41" s="61">
        <f>IF(JanTerm&gt;0,IF(JanTerm&lt;#REF!+12,0,FV(JanRate/12,#REF!+11,JanPayment*-1,JanPrinciple)*-1),JanPrinciple)</f>
        <v>0</v>
      </c>
      <c r="N41" s="126">
        <f>IF(JanTerm&gt;0,IF(JanTerm&lt;#REF!+12,0,FV(JanRate/12,#REF!+11,JanPayment*-1,JanPrinciple)*-1),JanPrinciple)</f>
        <v>0</v>
      </c>
    </row>
    <row r="42" spans="1:14" x14ac:dyDescent="0.2">
      <c r="A42" s="132" t="s">
        <v>127</v>
      </c>
      <c r="B42" s="136"/>
      <c r="C42" s="140">
        <f>C40-C41</f>
        <v>0</v>
      </c>
      <c r="D42" s="61">
        <f>D40-D41</f>
        <v>0</v>
      </c>
      <c r="E42" s="126">
        <f t="shared" ref="E42:N42" si="25">E40-E41</f>
        <v>0</v>
      </c>
      <c r="F42" s="140">
        <f t="shared" si="25"/>
        <v>0</v>
      </c>
      <c r="G42" s="61">
        <f t="shared" si="25"/>
        <v>0</v>
      </c>
      <c r="H42" s="126">
        <f t="shared" si="25"/>
        <v>0</v>
      </c>
      <c r="I42" s="140">
        <f t="shared" si="25"/>
        <v>0</v>
      </c>
      <c r="J42" s="61">
        <f t="shared" si="25"/>
        <v>0</v>
      </c>
      <c r="K42" s="126">
        <f t="shared" si="25"/>
        <v>0</v>
      </c>
      <c r="L42" s="173">
        <f t="shared" si="25"/>
        <v>0</v>
      </c>
      <c r="M42" s="61">
        <f t="shared" si="25"/>
        <v>0</v>
      </c>
      <c r="N42" s="126">
        <f t="shared" si="25"/>
        <v>0</v>
      </c>
    </row>
    <row r="43" spans="1:14" x14ac:dyDescent="0.2">
      <c r="A43" s="132" t="s">
        <v>123</v>
      </c>
      <c r="B43" s="136"/>
      <c r="C43" s="140">
        <v>0</v>
      </c>
      <c r="D43" s="61">
        <f>C40-D40</f>
        <v>0</v>
      </c>
      <c r="E43" s="126">
        <f t="shared" ref="E43:N43" si="26">D40-E40</f>
        <v>0</v>
      </c>
      <c r="F43" s="140">
        <f t="shared" si="26"/>
        <v>0</v>
      </c>
      <c r="G43" s="61">
        <f t="shared" si="26"/>
        <v>0</v>
      </c>
      <c r="H43" s="126">
        <f t="shared" si="26"/>
        <v>0</v>
      </c>
      <c r="I43" s="140">
        <f t="shared" si="26"/>
        <v>0</v>
      </c>
      <c r="J43" s="61">
        <f t="shared" si="26"/>
        <v>0</v>
      </c>
      <c r="K43" s="126">
        <f t="shared" si="26"/>
        <v>0</v>
      </c>
      <c r="L43" s="173">
        <f t="shared" si="26"/>
        <v>0</v>
      </c>
      <c r="M43" s="61">
        <f t="shared" si="26"/>
        <v>0</v>
      </c>
      <c r="N43" s="126">
        <f t="shared" si="26"/>
        <v>0</v>
      </c>
    </row>
    <row r="44" spans="1:14" ht="13.5" thickBot="1" x14ac:dyDescent="0.25">
      <c r="A44" s="133" t="s">
        <v>124</v>
      </c>
      <c r="B44" s="137"/>
      <c r="C44" s="141">
        <v>0</v>
      </c>
      <c r="D44" s="127">
        <f>IF(JanTerm&gt;0,IF(JanTerm&lt;=#REF!,0,JanPayment-D43),JanPayment)</f>
        <v>0</v>
      </c>
      <c r="E44" s="128">
        <f>IF(JanTerm&gt;0,IF(JanTerm&lt;=#REF!,0,JanPayment-E43),JanPayment)</f>
        <v>0</v>
      </c>
      <c r="F44" s="141">
        <f>IF(JanTerm&gt;0,IF(JanTerm&lt;=#REF!,0,JanPayment-F43),JanPayment)</f>
        <v>0</v>
      </c>
      <c r="G44" s="127">
        <f>IF(JanTerm&gt;0,IF(JanTerm&lt;=#REF!,0,JanPayment-G43),JanPayment)</f>
        <v>0</v>
      </c>
      <c r="H44" s="128">
        <f>IF(JanTerm&gt;0,IF(JanTerm&lt;=#REF!,0,JanPayment-H43),JanPayment)</f>
        <v>0</v>
      </c>
      <c r="I44" s="141">
        <f>IF(JanTerm&gt;0,IF(JanTerm&lt;=#REF!,0,JanPayment-I43),JanPayment)</f>
        <v>0</v>
      </c>
      <c r="J44" s="127">
        <f>IF(JanTerm&gt;0,IF(JanTerm&lt;=#REF!,0,JanPayment-J43),JanPayment)</f>
        <v>0</v>
      </c>
      <c r="K44" s="128">
        <f>IF(JanTerm&gt;0,IF(JanTerm&lt;=#REF!,0,JanPayment-K43),JanPayment)</f>
        <v>0</v>
      </c>
      <c r="L44" s="174">
        <f>IF(JanTerm&gt;0,IF(JanTerm&lt;=#REF!,0,JanPayment-L43),JanPayment)</f>
        <v>0</v>
      </c>
      <c r="M44" s="127">
        <f>IF(JanTerm&gt;0,IF(JanTerm&lt;=#REF!,0,JanPayment-M43),JanPayment)</f>
        <v>0</v>
      </c>
      <c r="N44" s="128">
        <f>IF(JanTerm&gt;0,IF(JanTerm&lt;=#REF!,0,JanPayment-N43),JanPayment)</f>
        <v>0</v>
      </c>
    </row>
    <row r="45" spans="1:14" hidden="1" x14ac:dyDescent="0.2">
      <c r="A45" s="134"/>
      <c r="B45" s="138"/>
      <c r="C45" s="142"/>
      <c r="D45" s="80"/>
      <c r="E45" s="143">
        <v>1</v>
      </c>
      <c r="F45" s="144">
        <v>2</v>
      </c>
      <c r="G45" s="82">
        <v>3</v>
      </c>
      <c r="H45" s="145">
        <v>4</v>
      </c>
      <c r="I45" s="144">
        <v>5</v>
      </c>
      <c r="J45" s="82">
        <v>6</v>
      </c>
      <c r="K45" s="145">
        <v>7</v>
      </c>
      <c r="L45" s="177">
        <v>8</v>
      </c>
      <c r="M45" s="82">
        <v>9</v>
      </c>
      <c r="N45" s="82">
        <v>10</v>
      </c>
    </row>
    <row r="46" spans="1:14" x14ac:dyDescent="0.2">
      <c r="A46" s="131" t="str">
        <f>"Loan taken in " &amp;Month2</f>
        <v>Loan taken in Aug</v>
      </c>
      <c r="B46" s="135"/>
      <c r="C46" s="129"/>
      <c r="D46" s="122"/>
      <c r="E46" s="130"/>
      <c r="F46" s="129"/>
      <c r="G46" s="122"/>
      <c r="H46" s="124"/>
      <c r="I46" s="146"/>
      <c r="J46" s="123"/>
      <c r="K46" s="124"/>
      <c r="L46" s="180"/>
      <c r="M46" s="123"/>
      <c r="N46" s="124"/>
    </row>
    <row r="47" spans="1:14" x14ac:dyDescent="0.2">
      <c r="A47" s="132" t="s">
        <v>130</v>
      </c>
      <c r="B47" s="136"/>
      <c r="C47" s="140"/>
      <c r="D47" s="61">
        <f>FebPrinciple</f>
        <v>0</v>
      </c>
      <c r="E47" s="126">
        <f t="shared" ref="E47:N47" si="27">IF(FebTerm&gt;0,IF(FebTerm&lt;=E45,0,FV(FebRate/12,E45,FebPayment*-1,FebPrinciple)*-1),FebPrinciple)</f>
        <v>0</v>
      </c>
      <c r="F47" s="140">
        <f t="shared" si="27"/>
        <v>0</v>
      </c>
      <c r="G47" s="61">
        <f t="shared" si="27"/>
        <v>0</v>
      </c>
      <c r="H47" s="126">
        <f t="shared" si="27"/>
        <v>0</v>
      </c>
      <c r="I47" s="140">
        <f t="shared" si="27"/>
        <v>0</v>
      </c>
      <c r="J47" s="61">
        <f t="shared" si="27"/>
        <v>0</v>
      </c>
      <c r="K47" s="126">
        <f t="shared" si="27"/>
        <v>0</v>
      </c>
      <c r="L47" s="173">
        <f t="shared" si="27"/>
        <v>0</v>
      </c>
      <c r="M47" s="61">
        <f t="shared" si="27"/>
        <v>0</v>
      </c>
      <c r="N47" s="126">
        <f t="shared" si="27"/>
        <v>0</v>
      </c>
    </row>
    <row r="48" spans="1:14" x14ac:dyDescent="0.2">
      <c r="A48" s="132" t="s">
        <v>128</v>
      </c>
      <c r="B48" s="136"/>
      <c r="C48" s="140"/>
      <c r="D48" s="61">
        <f>IF(FebTerm&gt;0,IF(FebTerm&lt;12,0,FV(FebRate/12,11,FebPayment*-1,FebPrinciple)*-1),FebPrinciple)</f>
        <v>0</v>
      </c>
      <c r="E48" s="126">
        <f t="shared" ref="E48:N48" si="28">IF(FebTerm&gt;0,IF(FebTerm&lt;E45+12,0,FV(FebRate/12,E45+11,FebPayment*-1,FebPrinciple)*-1),FebPrinciple)</f>
        <v>0</v>
      </c>
      <c r="F48" s="140">
        <f t="shared" si="28"/>
        <v>0</v>
      </c>
      <c r="G48" s="61">
        <f t="shared" si="28"/>
        <v>0</v>
      </c>
      <c r="H48" s="126">
        <f t="shared" si="28"/>
        <v>0</v>
      </c>
      <c r="I48" s="140">
        <f t="shared" si="28"/>
        <v>0</v>
      </c>
      <c r="J48" s="61">
        <f t="shared" si="28"/>
        <v>0</v>
      </c>
      <c r="K48" s="126">
        <f t="shared" si="28"/>
        <v>0</v>
      </c>
      <c r="L48" s="173">
        <f t="shared" si="28"/>
        <v>0</v>
      </c>
      <c r="M48" s="61">
        <f t="shared" si="28"/>
        <v>0</v>
      </c>
      <c r="N48" s="126">
        <f t="shared" si="28"/>
        <v>0</v>
      </c>
    </row>
    <row r="49" spans="1:14" x14ac:dyDescent="0.2">
      <c r="A49" s="132" t="s">
        <v>127</v>
      </c>
      <c r="B49" s="136"/>
      <c r="C49" s="140"/>
      <c r="D49" s="61">
        <f>D47-D48</f>
        <v>0</v>
      </c>
      <c r="E49" s="126">
        <f t="shared" ref="E49:N49" si="29">E47-E48</f>
        <v>0</v>
      </c>
      <c r="F49" s="140">
        <f t="shared" si="29"/>
        <v>0</v>
      </c>
      <c r="G49" s="61">
        <f t="shared" si="29"/>
        <v>0</v>
      </c>
      <c r="H49" s="126">
        <f t="shared" si="29"/>
        <v>0</v>
      </c>
      <c r="I49" s="140">
        <f t="shared" si="29"/>
        <v>0</v>
      </c>
      <c r="J49" s="61">
        <f t="shared" si="29"/>
        <v>0</v>
      </c>
      <c r="K49" s="126">
        <f t="shared" si="29"/>
        <v>0</v>
      </c>
      <c r="L49" s="173">
        <f t="shared" si="29"/>
        <v>0</v>
      </c>
      <c r="M49" s="61">
        <f t="shared" si="29"/>
        <v>0</v>
      </c>
      <c r="N49" s="126">
        <f t="shared" si="29"/>
        <v>0</v>
      </c>
    </row>
    <row r="50" spans="1:14" x14ac:dyDescent="0.2">
      <c r="A50" s="132" t="s">
        <v>123</v>
      </c>
      <c r="B50" s="136"/>
      <c r="C50" s="140"/>
      <c r="D50" s="61"/>
      <c r="E50" s="126">
        <f>D47-E47</f>
        <v>0</v>
      </c>
      <c r="F50" s="140">
        <f t="shared" ref="F50:N50" si="30">E47-F47</f>
        <v>0</v>
      </c>
      <c r="G50" s="61">
        <f t="shared" si="30"/>
        <v>0</v>
      </c>
      <c r="H50" s="126">
        <f t="shared" si="30"/>
        <v>0</v>
      </c>
      <c r="I50" s="140">
        <f t="shared" si="30"/>
        <v>0</v>
      </c>
      <c r="J50" s="61">
        <f t="shared" si="30"/>
        <v>0</v>
      </c>
      <c r="K50" s="126">
        <f t="shared" si="30"/>
        <v>0</v>
      </c>
      <c r="L50" s="173">
        <f t="shared" si="30"/>
        <v>0</v>
      </c>
      <c r="M50" s="61">
        <f t="shared" si="30"/>
        <v>0</v>
      </c>
      <c r="N50" s="126">
        <f t="shared" si="30"/>
        <v>0</v>
      </c>
    </row>
    <row r="51" spans="1:14" ht="13.5" thickBot="1" x14ac:dyDescent="0.25">
      <c r="A51" s="133" t="s">
        <v>124</v>
      </c>
      <c r="B51" s="137"/>
      <c r="C51" s="141"/>
      <c r="D51" s="127"/>
      <c r="E51" s="128">
        <f t="shared" ref="E51:N51" si="31">IF(FebTerm&gt;0,IF(FebTerm&lt;=E45,0,FebPayment-E50),FebPayment)</f>
        <v>0</v>
      </c>
      <c r="F51" s="141">
        <f t="shared" si="31"/>
        <v>0</v>
      </c>
      <c r="G51" s="127">
        <f t="shared" si="31"/>
        <v>0</v>
      </c>
      <c r="H51" s="128">
        <f t="shared" si="31"/>
        <v>0</v>
      </c>
      <c r="I51" s="141">
        <f t="shared" si="31"/>
        <v>0</v>
      </c>
      <c r="J51" s="127">
        <f t="shared" si="31"/>
        <v>0</v>
      </c>
      <c r="K51" s="128">
        <f t="shared" si="31"/>
        <v>0</v>
      </c>
      <c r="L51" s="174">
        <f t="shared" si="31"/>
        <v>0</v>
      </c>
      <c r="M51" s="127">
        <f t="shared" si="31"/>
        <v>0</v>
      </c>
      <c r="N51" s="128">
        <f t="shared" si="31"/>
        <v>0</v>
      </c>
    </row>
    <row r="52" spans="1:14" hidden="1" x14ac:dyDescent="0.2">
      <c r="A52" s="134"/>
      <c r="B52" s="138"/>
      <c r="C52" s="142"/>
      <c r="D52" s="80"/>
      <c r="E52" s="143"/>
      <c r="F52" s="144">
        <v>1</v>
      </c>
      <c r="G52" s="82">
        <v>2</v>
      </c>
      <c r="H52" s="145">
        <v>3</v>
      </c>
      <c r="I52" s="144">
        <v>4</v>
      </c>
      <c r="J52" s="82">
        <v>5</v>
      </c>
      <c r="K52" s="145">
        <v>6</v>
      </c>
      <c r="L52" s="177">
        <v>7</v>
      </c>
      <c r="M52" s="82">
        <v>8</v>
      </c>
      <c r="N52" s="82">
        <v>9</v>
      </c>
    </row>
    <row r="53" spans="1:14" x14ac:dyDescent="0.2">
      <c r="A53" s="131" t="str">
        <f>"Loan taken in " &amp; Month3</f>
        <v>Loan taken in Sep</v>
      </c>
      <c r="B53" s="135"/>
      <c r="C53" s="129"/>
      <c r="D53" s="122"/>
      <c r="E53" s="130"/>
      <c r="F53" s="129"/>
      <c r="G53" s="122"/>
      <c r="H53" s="124"/>
      <c r="I53" s="146"/>
      <c r="J53" s="123"/>
      <c r="K53" s="124"/>
      <c r="L53" s="180"/>
      <c r="M53" s="123"/>
      <c r="N53" s="124"/>
    </row>
    <row r="54" spans="1:14" x14ac:dyDescent="0.2">
      <c r="A54" s="132" t="s">
        <v>130</v>
      </c>
      <c r="B54" s="136"/>
      <c r="C54" s="140"/>
      <c r="D54" s="61"/>
      <c r="E54" s="126">
        <f>MarPrinciple</f>
        <v>0</v>
      </c>
      <c r="F54" s="140">
        <f t="shared" ref="F54:N54" si="32">IF(MarTerm&gt;0,IF(MarTerm&lt;=F52,0,FV(MarRate/12,F52,MarPayment*-1,MarPrinciple)*-1),MarPrinciple)</f>
        <v>0</v>
      </c>
      <c r="G54" s="61">
        <f t="shared" si="32"/>
        <v>0</v>
      </c>
      <c r="H54" s="126">
        <f t="shared" si="32"/>
        <v>0</v>
      </c>
      <c r="I54" s="140">
        <f t="shared" si="32"/>
        <v>0</v>
      </c>
      <c r="J54" s="61">
        <f t="shared" si="32"/>
        <v>0</v>
      </c>
      <c r="K54" s="126">
        <f t="shared" si="32"/>
        <v>0</v>
      </c>
      <c r="L54" s="173">
        <f t="shared" si="32"/>
        <v>0</v>
      </c>
      <c r="M54" s="61">
        <f t="shared" si="32"/>
        <v>0</v>
      </c>
      <c r="N54" s="126">
        <f t="shared" si="32"/>
        <v>0</v>
      </c>
    </row>
    <row r="55" spans="1:14" x14ac:dyDescent="0.2">
      <c r="A55" s="132" t="s">
        <v>128</v>
      </c>
      <c r="B55" s="136"/>
      <c r="C55" s="140"/>
      <c r="D55" s="61"/>
      <c r="E55" s="126">
        <f>IF(MarTerm&gt;0,IF(MarTerm&lt;12,0,FV(MarRate/12,11,MarPayment*-1,MarPrinciple)*-1),MarPrinciple)</f>
        <v>0</v>
      </c>
      <c r="F55" s="140">
        <f t="shared" ref="F55:N55" si="33">IF(MarTerm&gt;0,IF(MarTerm&lt;F52+12,0,FV(MarRate/12,F52+11,MarPayment*-1,MarPrinciple)*-1),MarPrinciple)</f>
        <v>0</v>
      </c>
      <c r="G55" s="61">
        <f t="shared" si="33"/>
        <v>0</v>
      </c>
      <c r="H55" s="126">
        <f t="shared" si="33"/>
        <v>0</v>
      </c>
      <c r="I55" s="140">
        <f t="shared" si="33"/>
        <v>0</v>
      </c>
      <c r="J55" s="61">
        <f t="shared" si="33"/>
        <v>0</v>
      </c>
      <c r="K55" s="126">
        <f t="shared" si="33"/>
        <v>0</v>
      </c>
      <c r="L55" s="173">
        <f t="shared" si="33"/>
        <v>0</v>
      </c>
      <c r="M55" s="61">
        <f t="shared" si="33"/>
        <v>0</v>
      </c>
      <c r="N55" s="126">
        <f t="shared" si="33"/>
        <v>0</v>
      </c>
    </row>
    <row r="56" spans="1:14" x14ac:dyDescent="0.2">
      <c r="A56" s="132" t="s">
        <v>127</v>
      </c>
      <c r="B56" s="136"/>
      <c r="C56" s="140"/>
      <c r="D56" s="61"/>
      <c r="E56" s="126">
        <f>E54-E55</f>
        <v>0</v>
      </c>
      <c r="F56" s="140">
        <f t="shared" ref="F56:N56" si="34">F54-F55</f>
        <v>0</v>
      </c>
      <c r="G56" s="61">
        <f t="shared" si="34"/>
        <v>0</v>
      </c>
      <c r="H56" s="126">
        <f t="shared" si="34"/>
        <v>0</v>
      </c>
      <c r="I56" s="140">
        <f t="shared" si="34"/>
        <v>0</v>
      </c>
      <c r="J56" s="61">
        <f t="shared" si="34"/>
        <v>0</v>
      </c>
      <c r="K56" s="126">
        <f t="shared" si="34"/>
        <v>0</v>
      </c>
      <c r="L56" s="173">
        <f t="shared" si="34"/>
        <v>0</v>
      </c>
      <c r="M56" s="61">
        <f t="shared" si="34"/>
        <v>0</v>
      </c>
      <c r="N56" s="126">
        <f t="shared" si="34"/>
        <v>0</v>
      </c>
    </row>
    <row r="57" spans="1:14" x14ac:dyDescent="0.2">
      <c r="A57" s="132" t="s">
        <v>123</v>
      </c>
      <c r="B57" s="136"/>
      <c r="C57" s="140"/>
      <c r="D57" s="61"/>
      <c r="E57" s="126"/>
      <c r="F57" s="140">
        <f>E54-F54</f>
        <v>0</v>
      </c>
      <c r="G57" s="61">
        <f t="shared" ref="G57:N57" si="35">F54-G54</f>
        <v>0</v>
      </c>
      <c r="H57" s="126">
        <f t="shared" si="35"/>
        <v>0</v>
      </c>
      <c r="I57" s="140">
        <f t="shared" si="35"/>
        <v>0</v>
      </c>
      <c r="J57" s="61">
        <f t="shared" si="35"/>
        <v>0</v>
      </c>
      <c r="K57" s="126">
        <f t="shared" si="35"/>
        <v>0</v>
      </c>
      <c r="L57" s="173">
        <f t="shared" si="35"/>
        <v>0</v>
      </c>
      <c r="M57" s="61">
        <f t="shared" si="35"/>
        <v>0</v>
      </c>
      <c r="N57" s="126">
        <f t="shared" si="35"/>
        <v>0</v>
      </c>
    </row>
    <row r="58" spans="1:14" ht="13.5" thickBot="1" x14ac:dyDescent="0.25">
      <c r="A58" s="133" t="s">
        <v>124</v>
      </c>
      <c r="B58" s="137"/>
      <c r="C58" s="141"/>
      <c r="D58" s="127"/>
      <c r="E58" s="128"/>
      <c r="F58" s="141">
        <f t="shared" ref="F58:N58" si="36">IF(MarTerm&gt;0,IF(MarTerm&lt;=F52,0,MarPayment-F57),MarPayment)</f>
        <v>0</v>
      </c>
      <c r="G58" s="127">
        <f t="shared" si="36"/>
        <v>0</v>
      </c>
      <c r="H58" s="128">
        <f t="shared" si="36"/>
        <v>0</v>
      </c>
      <c r="I58" s="141">
        <f t="shared" si="36"/>
        <v>0</v>
      </c>
      <c r="J58" s="127">
        <f t="shared" si="36"/>
        <v>0</v>
      </c>
      <c r="K58" s="128">
        <f t="shared" si="36"/>
        <v>0</v>
      </c>
      <c r="L58" s="174">
        <f t="shared" si="36"/>
        <v>0</v>
      </c>
      <c r="M58" s="127">
        <f t="shared" si="36"/>
        <v>0</v>
      </c>
      <c r="N58" s="128">
        <f t="shared" si="36"/>
        <v>0</v>
      </c>
    </row>
    <row r="59" spans="1:14" hidden="1" x14ac:dyDescent="0.2">
      <c r="A59" s="134"/>
      <c r="B59" s="138"/>
      <c r="C59" s="142"/>
      <c r="D59" s="80"/>
      <c r="E59" s="143"/>
      <c r="F59" s="144"/>
      <c r="G59" s="82">
        <v>1</v>
      </c>
      <c r="H59" s="145">
        <v>2</v>
      </c>
      <c r="I59" s="144">
        <v>3</v>
      </c>
      <c r="J59" s="82">
        <v>4</v>
      </c>
      <c r="K59" s="145">
        <v>5</v>
      </c>
      <c r="L59" s="177">
        <v>6</v>
      </c>
      <c r="M59" s="82">
        <v>7</v>
      </c>
      <c r="N59" s="82">
        <v>8</v>
      </c>
    </row>
    <row r="60" spans="1:14" x14ac:dyDescent="0.2">
      <c r="A60" s="131" t="str">
        <f>"Loan taken in " &amp; Month4</f>
        <v>Loan taken in Oct</v>
      </c>
      <c r="B60" s="135"/>
      <c r="C60" s="129"/>
      <c r="D60" s="122"/>
      <c r="E60" s="130"/>
      <c r="F60" s="129"/>
      <c r="G60" s="122"/>
      <c r="H60" s="124"/>
      <c r="I60" s="146"/>
      <c r="J60" s="123"/>
      <c r="K60" s="124"/>
      <c r="L60" s="180"/>
      <c r="M60" s="123"/>
      <c r="N60" s="124"/>
    </row>
    <row r="61" spans="1:14" x14ac:dyDescent="0.2">
      <c r="A61" s="132" t="s">
        <v>130</v>
      </c>
      <c r="B61" s="136"/>
      <c r="C61" s="140"/>
      <c r="D61" s="61"/>
      <c r="E61" s="126"/>
      <c r="F61" s="140">
        <f>AprPrinciple</f>
        <v>0</v>
      </c>
      <c r="G61" s="61">
        <f t="shared" ref="G61:N61" si="37">IF(AprTerm&gt;0,IF(AprTerm&lt;=G59,0,FV(AprRate/12,G59,AprPayment*-1,AprPrinciple)*-1),AprPrinciple)</f>
        <v>0</v>
      </c>
      <c r="H61" s="126">
        <f t="shared" si="37"/>
        <v>0</v>
      </c>
      <c r="I61" s="140">
        <f t="shared" si="37"/>
        <v>0</v>
      </c>
      <c r="J61" s="61">
        <f t="shared" si="37"/>
        <v>0</v>
      </c>
      <c r="K61" s="126">
        <f t="shared" si="37"/>
        <v>0</v>
      </c>
      <c r="L61" s="173">
        <f t="shared" si="37"/>
        <v>0</v>
      </c>
      <c r="M61" s="61">
        <f t="shared" si="37"/>
        <v>0</v>
      </c>
      <c r="N61" s="126">
        <f t="shared" si="37"/>
        <v>0</v>
      </c>
    </row>
    <row r="62" spans="1:14" x14ac:dyDescent="0.2">
      <c r="A62" s="132" t="s">
        <v>128</v>
      </c>
      <c r="B62" s="136"/>
      <c r="C62" s="140"/>
      <c r="D62" s="61"/>
      <c r="E62" s="126"/>
      <c r="F62" s="140">
        <f>IF(AprTerm&gt;0,IF(AprTerm&lt;12,0,FV(AprRate/12,11,AprPayment*-1,AprPrinciple)*-1),AprPrinciple)</f>
        <v>0</v>
      </c>
      <c r="G62" s="61">
        <f t="shared" ref="G62:N62" si="38">IF(AprTerm&gt;0,IF(AprTerm&lt;G59+12,0,FV(AprRate/12,G59+11,AprPayment*-1,AprPrinciple)*-1),AprPrinciple)</f>
        <v>0</v>
      </c>
      <c r="H62" s="126">
        <f t="shared" si="38"/>
        <v>0</v>
      </c>
      <c r="I62" s="140">
        <f t="shared" si="38"/>
        <v>0</v>
      </c>
      <c r="J62" s="61">
        <f t="shared" si="38"/>
        <v>0</v>
      </c>
      <c r="K62" s="126">
        <f t="shared" si="38"/>
        <v>0</v>
      </c>
      <c r="L62" s="173">
        <f t="shared" si="38"/>
        <v>0</v>
      </c>
      <c r="M62" s="61">
        <f t="shared" si="38"/>
        <v>0</v>
      </c>
      <c r="N62" s="126">
        <f t="shared" si="38"/>
        <v>0</v>
      </c>
    </row>
    <row r="63" spans="1:14" x14ac:dyDescent="0.2">
      <c r="A63" s="132" t="s">
        <v>127</v>
      </c>
      <c r="B63" s="136"/>
      <c r="C63" s="140"/>
      <c r="D63" s="61"/>
      <c r="E63" s="126"/>
      <c r="F63" s="140">
        <f>F61-F62</f>
        <v>0</v>
      </c>
      <c r="G63" s="61">
        <f t="shared" ref="G63:N63" si="39">G61-G62</f>
        <v>0</v>
      </c>
      <c r="H63" s="126">
        <f t="shared" si="39"/>
        <v>0</v>
      </c>
      <c r="I63" s="140">
        <f t="shared" si="39"/>
        <v>0</v>
      </c>
      <c r="J63" s="61">
        <f t="shared" si="39"/>
        <v>0</v>
      </c>
      <c r="K63" s="126">
        <f t="shared" si="39"/>
        <v>0</v>
      </c>
      <c r="L63" s="173">
        <f t="shared" si="39"/>
        <v>0</v>
      </c>
      <c r="M63" s="61">
        <f t="shared" si="39"/>
        <v>0</v>
      </c>
      <c r="N63" s="126">
        <f t="shared" si="39"/>
        <v>0</v>
      </c>
    </row>
    <row r="64" spans="1:14" x14ac:dyDescent="0.2">
      <c r="A64" s="132" t="s">
        <v>123</v>
      </c>
      <c r="B64" s="136"/>
      <c r="C64" s="140"/>
      <c r="D64" s="61"/>
      <c r="E64" s="126"/>
      <c r="F64" s="140"/>
      <c r="G64" s="61">
        <f>F61-G61</f>
        <v>0</v>
      </c>
      <c r="H64" s="126">
        <f t="shared" ref="H64:N64" si="40">G61-H61</f>
        <v>0</v>
      </c>
      <c r="I64" s="140">
        <f t="shared" si="40"/>
        <v>0</v>
      </c>
      <c r="J64" s="61">
        <f t="shared" si="40"/>
        <v>0</v>
      </c>
      <c r="K64" s="126">
        <f t="shared" si="40"/>
        <v>0</v>
      </c>
      <c r="L64" s="173">
        <f t="shared" si="40"/>
        <v>0</v>
      </c>
      <c r="M64" s="61">
        <f t="shared" si="40"/>
        <v>0</v>
      </c>
      <c r="N64" s="126">
        <f t="shared" si="40"/>
        <v>0</v>
      </c>
    </row>
    <row r="65" spans="1:14" ht="13.5" thickBot="1" x14ac:dyDescent="0.25">
      <c r="A65" s="133" t="s">
        <v>124</v>
      </c>
      <c r="B65" s="137"/>
      <c r="C65" s="141"/>
      <c r="D65" s="127"/>
      <c r="E65" s="128"/>
      <c r="F65" s="141"/>
      <c r="G65" s="127">
        <f t="shared" ref="G65:N65" si="41">IF(AprTerm&gt;0,IF(AprTerm&lt;=G59,0,AprPayment-G64),AprPayment)</f>
        <v>0</v>
      </c>
      <c r="H65" s="128">
        <f t="shared" si="41"/>
        <v>0</v>
      </c>
      <c r="I65" s="141">
        <f t="shared" si="41"/>
        <v>0</v>
      </c>
      <c r="J65" s="127">
        <f t="shared" si="41"/>
        <v>0</v>
      </c>
      <c r="K65" s="128">
        <f t="shared" si="41"/>
        <v>0</v>
      </c>
      <c r="L65" s="174">
        <f t="shared" si="41"/>
        <v>0</v>
      </c>
      <c r="M65" s="127">
        <f t="shared" si="41"/>
        <v>0</v>
      </c>
      <c r="N65" s="128">
        <f t="shared" si="41"/>
        <v>0</v>
      </c>
    </row>
    <row r="66" spans="1:14" hidden="1" x14ac:dyDescent="0.2">
      <c r="A66" s="134"/>
      <c r="B66" s="138"/>
      <c r="C66" s="142"/>
      <c r="D66" s="80"/>
      <c r="E66" s="143"/>
      <c r="F66" s="144"/>
      <c r="G66" s="82"/>
      <c r="H66" s="145">
        <v>1</v>
      </c>
      <c r="I66" s="144">
        <v>2</v>
      </c>
      <c r="J66" s="82">
        <v>3</v>
      </c>
      <c r="K66" s="145">
        <v>4</v>
      </c>
      <c r="L66" s="177">
        <v>5</v>
      </c>
      <c r="M66" s="82">
        <v>6</v>
      </c>
      <c r="N66" s="82">
        <v>7</v>
      </c>
    </row>
    <row r="67" spans="1:14" x14ac:dyDescent="0.2">
      <c r="A67" s="131" t="str">
        <f>"Loan taken in "&amp;Month5</f>
        <v>Loan taken in Nov</v>
      </c>
      <c r="B67" s="135"/>
      <c r="C67" s="129"/>
      <c r="D67" s="122"/>
      <c r="E67" s="130"/>
      <c r="F67" s="129"/>
      <c r="G67" s="122"/>
      <c r="H67" s="124"/>
      <c r="I67" s="146"/>
      <c r="J67" s="123"/>
      <c r="K67" s="124"/>
      <c r="L67" s="180"/>
      <c r="M67" s="123"/>
      <c r="N67" s="124"/>
    </row>
    <row r="68" spans="1:14" x14ac:dyDescent="0.2">
      <c r="A68" s="132" t="s">
        <v>130</v>
      </c>
      <c r="B68" s="136"/>
      <c r="C68" s="140"/>
      <c r="D68" s="61"/>
      <c r="E68" s="126"/>
      <c r="F68" s="140"/>
      <c r="G68" s="61">
        <f>MayPrinciple</f>
        <v>0</v>
      </c>
      <c r="H68" s="126">
        <f t="shared" ref="H68:N68" si="42">IF(MayTerm&gt;0,IF(MayTerm&lt;=H66,0,FV(MayRate/12,H66,MayPayment*-1,MayPrinciple)*-1),MayPrinciple)</f>
        <v>0</v>
      </c>
      <c r="I68" s="140">
        <f t="shared" si="42"/>
        <v>0</v>
      </c>
      <c r="J68" s="61">
        <f t="shared" si="42"/>
        <v>0</v>
      </c>
      <c r="K68" s="126">
        <f t="shared" si="42"/>
        <v>0</v>
      </c>
      <c r="L68" s="173">
        <f t="shared" si="42"/>
        <v>0</v>
      </c>
      <c r="M68" s="61">
        <f t="shared" si="42"/>
        <v>0</v>
      </c>
      <c r="N68" s="126">
        <f t="shared" si="42"/>
        <v>0</v>
      </c>
    </row>
    <row r="69" spans="1:14" x14ac:dyDescent="0.2">
      <c r="A69" s="132" t="s">
        <v>128</v>
      </c>
      <c r="B69" s="136"/>
      <c r="C69" s="140"/>
      <c r="D69" s="61"/>
      <c r="E69" s="126"/>
      <c r="F69" s="140"/>
      <c r="G69" s="61">
        <f>IF(MayTerm&gt;0,IF(MayTerm&lt;12,0,FV(MayRate/12,11,MayPayment*-1,MayPrinciple)*-1),MayPrinciple)</f>
        <v>0</v>
      </c>
      <c r="H69" s="126">
        <f t="shared" ref="H69:N69" si="43">IF(MayTerm&gt;0,IF(MayTerm&lt;H66+12,0,FV(MayRate/12,H66+11,MayPayment*-1,MayPrinciple)*-1),MayPrinciple)</f>
        <v>0</v>
      </c>
      <c r="I69" s="140">
        <f t="shared" si="43"/>
        <v>0</v>
      </c>
      <c r="J69" s="61">
        <f t="shared" si="43"/>
        <v>0</v>
      </c>
      <c r="K69" s="126">
        <f t="shared" si="43"/>
        <v>0</v>
      </c>
      <c r="L69" s="173">
        <f t="shared" si="43"/>
        <v>0</v>
      </c>
      <c r="M69" s="61">
        <f t="shared" si="43"/>
        <v>0</v>
      </c>
      <c r="N69" s="126">
        <f t="shared" si="43"/>
        <v>0</v>
      </c>
    </row>
    <row r="70" spans="1:14" x14ac:dyDescent="0.2">
      <c r="A70" s="132" t="s">
        <v>127</v>
      </c>
      <c r="B70" s="136"/>
      <c r="C70" s="140"/>
      <c r="D70" s="61"/>
      <c r="E70" s="126"/>
      <c r="F70" s="140"/>
      <c r="G70" s="61">
        <f>G68-G69</f>
        <v>0</v>
      </c>
      <c r="H70" s="126">
        <f t="shared" ref="H70:N70" si="44">H68-H69</f>
        <v>0</v>
      </c>
      <c r="I70" s="140">
        <f t="shared" si="44"/>
        <v>0</v>
      </c>
      <c r="J70" s="61">
        <f t="shared" si="44"/>
        <v>0</v>
      </c>
      <c r="K70" s="126">
        <f t="shared" si="44"/>
        <v>0</v>
      </c>
      <c r="L70" s="173">
        <f t="shared" si="44"/>
        <v>0</v>
      </c>
      <c r="M70" s="61">
        <f t="shared" si="44"/>
        <v>0</v>
      </c>
      <c r="N70" s="126">
        <f t="shared" si="44"/>
        <v>0</v>
      </c>
    </row>
    <row r="71" spans="1:14" x14ac:dyDescent="0.2">
      <c r="A71" s="132" t="s">
        <v>123</v>
      </c>
      <c r="B71" s="136"/>
      <c r="C71" s="140"/>
      <c r="D71" s="61"/>
      <c r="E71" s="126"/>
      <c r="F71" s="140"/>
      <c r="G71" s="61"/>
      <c r="H71" s="126">
        <f t="shared" ref="H71:N71" si="45">G68-H68</f>
        <v>0</v>
      </c>
      <c r="I71" s="140">
        <f t="shared" si="45"/>
        <v>0</v>
      </c>
      <c r="J71" s="61">
        <f t="shared" si="45"/>
        <v>0</v>
      </c>
      <c r="K71" s="126">
        <f t="shared" si="45"/>
        <v>0</v>
      </c>
      <c r="L71" s="173">
        <f t="shared" si="45"/>
        <v>0</v>
      </c>
      <c r="M71" s="61">
        <f t="shared" si="45"/>
        <v>0</v>
      </c>
      <c r="N71" s="126">
        <f t="shared" si="45"/>
        <v>0</v>
      </c>
    </row>
    <row r="72" spans="1:14" ht="13.5" thickBot="1" x14ac:dyDescent="0.25">
      <c r="A72" s="133" t="s">
        <v>124</v>
      </c>
      <c r="B72" s="137"/>
      <c r="C72" s="141"/>
      <c r="D72" s="127"/>
      <c r="E72" s="128"/>
      <c r="F72" s="141"/>
      <c r="G72" s="127"/>
      <c r="H72" s="128">
        <f t="shared" ref="H72:N72" si="46">IF(MayTerm&gt;0,IF(MayTerm&lt;=H66,0,MayPayment-H71),MayPayment)</f>
        <v>0</v>
      </c>
      <c r="I72" s="141">
        <f t="shared" si="46"/>
        <v>0</v>
      </c>
      <c r="J72" s="127">
        <f t="shared" si="46"/>
        <v>0</v>
      </c>
      <c r="K72" s="128">
        <f t="shared" si="46"/>
        <v>0</v>
      </c>
      <c r="L72" s="174">
        <f t="shared" si="46"/>
        <v>0</v>
      </c>
      <c r="M72" s="127">
        <f t="shared" si="46"/>
        <v>0</v>
      </c>
      <c r="N72" s="128">
        <f t="shared" si="46"/>
        <v>0</v>
      </c>
    </row>
    <row r="73" spans="1:14" hidden="1" x14ac:dyDescent="0.2">
      <c r="A73" s="134"/>
      <c r="B73" s="138"/>
      <c r="C73" s="142"/>
      <c r="D73" s="80"/>
      <c r="E73" s="143"/>
      <c r="F73" s="144"/>
      <c r="G73" s="82"/>
      <c r="H73" s="145"/>
      <c r="I73" s="144">
        <v>1</v>
      </c>
      <c r="J73" s="82">
        <v>2</v>
      </c>
      <c r="K73" s="145">
        <v>3</v>
      </c>
      <c r="L73" s="177">
        <v>4</v>
      </c>
      <c r="M73" s="82">
        <v>5</v>
      </c>
      <c r="N73" s="82">
        <v>6</v>
      </c>
    </row>
    <row r="74" spans="1:14" x14ac:dyDescent="0.2">
      <c r="A74" s="131" t="str">
        <f>"Loan taken in "&amp;Month6</f>
        <v>Loan taken in Dec</v>
      </c>
      <c r="B74" s="135"/>
      <c r="C74" s="129"/>
      <c r="D74" s="122"/>
      <c r="E74" s="130"/>
      <c r="F74" s="129"/>
      <c r="G74" s="122"/>
      <c r="H74" s="124"/>
      <c r="I74" s="146"/>
      <c r="J74" s="123"/>
      <c r="K74" s="124"/>
      <c r="L74" s="180"/>
      <c r="M74" s="123"/>
      <c r="N74" s="124"/>
    </row>
    <row r="75" spans="1:14" x14ac:dyDescent="0.2">
      <c r="A75" s="132" t="s">
        <v>130</v>
      </c>
      <c r="B75" s="136"/>
      <c r="C75" s="140"/>
      <c r="D75" s="61"/>
      <c r="E75" s="126"/>
      <c r="F75" s="140"/>
      <c r="G75" s="61"/>
      <c r="H75" s="126">
        <f>JunPrinciple</f>
        <v>0</v>
      </c>
      <c r="I75" s="140">
        <f t="shared" ref="I75:N75" si="47">IF(JunTerm&gt;0,IF(JunTerm&lt;=I73,0,FV(JunRate/12,I73,JunPayment*-1,JunPrinciple)*-1),JunPrinciple)</f>
        <v>0</v>
      </c>
      <c r="J75" s="61">
        <f t="shared" si="47"/>
        <v>0</v>
      </c>
      <c r="K75" s="126">
        <f t="shared" si="47"/>
        <v>0</v>
      </c>
      <c r="L75" s="173">
        <f t="shared" si="47"/>
        <v>0</v>
      </c>
      <c r="M75" s="61">
        <f t="shared" si="47"/>
        <v>0</v>
      </c>
      <c r="N75" s="126">
        <f t="shared" si="47"/>
        <v>0</v>
      </c>
    </row>
    <row r="76" spans="1:14" x14ac:dyDescent="0.2">
      <c r="A76" s="132" t="s">
        <v>128</v>
      </c>
      <c r="B76" s="136"/>
      <c r="C76" s="140"/>
      <c r="D76" s="61"/>
      <c r="E76" s="126"/>
      <c r="F76" s="140"/>
      <c r="G76" s="61"/>
      <c r="H76" s="126">
        <f>IF(JunTerm&gt;0,IF(JunTerm&lt;12,0,FV(JunRate/12,11,JunPayment*-1,JunPrinciple)*-1),JunPrinciple)</f>
        <v>0</v>
      </c>
      <c r="I76" s="140">
        <f t="shared" ref="I76:N76" si="48">IF(JunTerm&gt;0,IF(JunTerm&lt;I73+12,0,FV(JunRate/12,I73+11,JunPayment*-1,JunPrinciple)*-1),JunPrinciple)</f>
        <v>0</v>
      </c>
      <c r="J76" s="61">
        <f t="shared" si="48"/>
        <v>0</v>
      </c>
      <c r="K76" s="126">
        <f t="shared" si="48"/>
        <v>0</v>
      </c>
      <c r="L76" s="173">
        <f t="shared" si="48"/>
        <v>0</v>
      </c>
      <c r="M76" s="61">
        <f t="shared" si="48"/>
        <v>0</v>
      </c>
      <c r="N76" s="126">
        <f t="shared" si="48"/>
        <v>0</v>
      </c>
    </row>
    <row r="77" spans="1:14" x14ac:dyDescent="0.2">
      <c r="A77" s="132" t="s">
        <v>127</v>
      </c>
      <c r="B77" s="136"/>
      <c r="C77" s="140"/>
      <c r="D77" s="61"/>
      <c r="E77" s="126"/>
      <c r="F77" s="140"/>
      <c r="G77" s="61"/>
      <c r="H77" s="126">
        <f>H75-H76</f>
        <v>0</v>
      </c>
      <c r="I77" s="140">
        <f t="shared" ref="I77:N77" si="49">I75-I76</f>
        <v>0</v>
      </c>
      <c r="J77" s="61">
        <f t="shared" si="49"/>
        <v>0</v>
      </c>
      <c r="K77" s="126">
        <f t="shared" si="49"/>
        <v>0</v>
      </c>
      <c r="L77" s="173">
        <f t="shared" si="49"/>
        <v>0</v>
      </c>
      <c r="M77" s="61">
        <f t="shared" si="49"/>
        <v>0</v>
      </c>
      <c r="N77" s="126">
        <f t="shared" si="49"/>
        <v>0</v>
      </c>
    </row>
    <row r="78" spans="1:14" x14ac:dyDescent="0.2">
      <c r="A78" s="132" t="s">
        <v>123</v>
      </c>
      <c r="B78" s="136"/>
      <c r="C78" s="140"/>
      <c r="D78" s="61"/>
      <c r="E78" s="126"/>
      <c r="F78" s="140"/>
      <c r="G78" s="61"/>
      <c r="H78" s="126"/>
      <c r="I78" s="140">
        <f t="shared" ref="I78:N78" si="50">H75-I75</f>
        <v>0</v>
      </c>
      <c r="J78" s="61">
        <f t="shared" si="50"/>
        <v>0</v>
      </c>
      <c r="K78" s="126">
        <f t="shared" si="50"/>
        <v>0</v>
      </c>
      <c r="L78" s="173">
        <f t="shared" si="50"/>
        <v>0</v>
      </c>
      <c r="M78" s="61">
        <f t="shared" si="50"/>
        <v>0</v>
      </c>
      <c r="N78" s="126">
        <f t="shared" si="50"/>
        <v>0</v>
      </c>
    </row>
    <row r="79" spans="1:14" ht="13.5" thickBot="1" x14ac:dyDescent="0.25">
      <c r="A79" s="133" t="s">
        <v>124</v>
      </c>
      <c r="B79" s="137"/>
      <c r="C79" s="141"/>
      <c r="D79" s="127"/>
      <c r="E79" s="128"/>
      <c r="F79" s="141"/>
      <c r="G79" s="127"/>
      <c r="H79" s="128"/>
      <c r="I79" s="141">
        <f t="shared" ref="I79:N79" si="51">IF(JunTerm&gt;0,IF(JunTerm&lt;=I73,0,JunPayment-I78),JunPayment)</f>
        <v>0</v>
      </c>
      <c r="J79" s="127">
        <f t="shared" si="51"/>
        <v>0</v>
      </c>
      <c r="K79" s="128">
        <f t="shared" si="51"/>
        <v>0</v>
      </c>
      <c r="L79" s="174">
        <f t="shared" si="51"/>
        <v>0</v>
      </c>
      <c r="M79" s="127">
        <f t="shared" si="51"/>
        <v>0</v>
      </c>
      <c r="N79" s="128">
        <f t="shared" si="51"/>
        <v>0</v>
      </c>
    </row>
    <row r="80" spans="1:14" hidden="1" x14ac:dyDescent="0.2">
      <c r="A80" s="134"/>
      <c r="B80" s="138"/>
      <c r="C80" s="142"/>
      <c r="D80" s="80"/>
      <c r="E80" s="143"/>
      <c r="F80" s="144"/>
      <c r="G80" s="82"/>
      <c r="H80" s="145"/>
      <c r="I80" s="144"/>
      <c r="J80" s="82">
        <v>1</v>
      </c>
      <c r="K80" s="145">
        <v>2</v>
      </c>
      <c r="L80" s="177">
        <v>3</v>
      </c>
      <c r="M80" s="82">
        <v>4</v>
      </c>
      <c r="N80" s="82">
        <v>5</v>
      </c>
    </row>
    <row r="81" spans="1:14" x14ac:dyDescent="0.2">
      <c r="A81" s="131" t="str">
        <f>"Loan taken in "&amp;Month7</f>
        <v>Loan taken in Jan</v>
      </c>
      <c r="B81" s="135"/>
      <c r="C81" s="129"/>
      <c r="D81" s="122"/>
      <c r="E81" s="130"/>
      <c r="F81" s="129"/>
      <c r="G81" s="122"/>
      <c r="H81" s="124"/>
      <c r="I81" s="146"/>
      <c r="J81" s="123"/>
      <c r="K81" s="124"/>
      <c r="L81" s="180"/>
      <c r="M81" s="123"/>
      <c r="N81" s="124"/>
    </row>
    <row r="82" spans="1:14" x14ac:dyDescent="0.2">
      <c r="A82" s="132" t="s">
        <v>130</v>
      </c>
      <c r="B82" s="136"/>
      <c r="C82" s="140"/>
      <c r="D82" s="61"/>
      <c r="E82" s="126"/>
      <c r="F82" s="140"/>
      <c r="G82" s="61"/>
      <c r="H82" s="126"/>
      <c r="I82" s="140">
        <f>JulPrinciple</f>
        <v>0</v>
      </c>
      <c r="J82" s="61">
        <f>IF(JulTerm&gt;0,IF(JulTerm&lt;=J80,0,FV(JulRate/12,J80,JulPayment*-1,JulPrinciple)*-1),JulPrinciple)</f>
        <v>0</v>
      </c>
      <c r="K82" s="126">
        <f>IF(JulTerm&gt;0,IF(JulTerm&lt;=K80,0,FV(JulRate/12,K80,JulPayment*-1,JulPrinciple)*-1),JulPrinciple)</f>
        <v>0</v>
      </c>
      <c r="L82" s="173">
        <f>IF(JulTerm&gt;0,IF(JulTerm&lt;=L80,0,FV(JulRate/12,L80,JulPayment*-1,JulPrinciple)*-1),JulPrinciple)</f>
        <v>0</v>
      </c>
      <c r="M82" s="61">
        <f>IF(JulTerm&gt;0,IF(JulTerm&lt;=M80,0,FV(JulRate/12,M80,JulPayment*-1,JulPrinciple)*-1),JulPrinciple)</f>
        <v>0</v>
      </c>
      <c r="N82" s="126">
        <f>IF(JulTerm&gt;0,IF(JulTerm&lt;=N80,0,FV(JulRate/12,N80,JulPayment*-1,JulPrinciple)*-1),JulPrinciple)</f>
        <v>0</v>
      </c>
    </row>
    <row r="83" spans="1:14" x14ac:dyDescent="0.2">
      <c r="A83" s="132" t="s">
        <v>128</v>
      </c>
      <c r="B83" s="136"/>
      <c r="C83" s="140"/>
      <c r="D83" s="61"/>
      <c r="E83" s="126"/>
      <c r="F83" s="140"/>
      <c r="G83" s="61"/>
      <c r="H83" s="126"/>
      <c r="I83" s="140">
        <f>IF(JulTerm&gt;0,IF(JulTerm&lt;12,0,FV(JulRate/12,11,JulPayment*-1,JulPrinciple)*-1),JulPrinciple)</f>
        <v>0</v>
      </c>
      <c r="J83" s="61">
        <f>IF(JulTerm&gt;0,IF(JulTerm&lt;J80+12,0,FV(JulRate/12,J80+11,JulPayment*-1,JulPrinciple)*-1),JulPrinciple)</f>
        <v>0</v>
      </c>
      <c r="K83" s="126">
        <f>IF(JulTerm&gt;0,IF(JulTerm&lt;K80+12,0,FV(JulRate/12,K80+11,JulPayment*-1,JulPrinciple)*-1),JulPrinciple)</f>
        <v>0</v>
      </c>
      <c r="L83" s="173">
        <f>IF(JulTerm&gt;0,IF(JulTerm&lt;L80+12,0,FV(JulRate/12,L80+11,JulPayment*-1,JulPrinciple)*-1),JulPrinciple)</f>
        <v>0</v>
      </c>
      <c r="M83" s="61">
        <f>IF(JulTerm&gt;0,IF(JulTerm&lt;M80+12,0,FV(JulRate/12,M80+11,JulPayment*-1,JulPrinciple)*-1),JulPrinciple)</f>
        <v>0</v>
      </c>
      <c r="N83" s="126">
        <f>IF(JulTerm&gt;0,IF(JulTerm&lt;N80+12,0,FV(JulRate/12,N80+11,JulPayment*-1,JulPrinciple)*-1),JulPrinciple)</f>
        <v>0</v>
      </c>
    </row>
    <row r="84" spans="1:14" x14ac:dyDescent="0.2">
      <c r="A84" s="132" t="s">
        <v>127</v>
      </c>
      <c r="B84" s="136"/>
      <c r="C84" s="140"/>
      <c r="D84" s="61"/>
      <c r="E84" s="126"/>
      <c r="F84" s="140"/>
      <c r="G84" s="61"/>
      <c r="H84" s="126"/>
      <c r="I84" s="140">
        <f t="shared" ref="I84:N84" si="52">I82-I83</f>
        <v>0</v>
      </c>
      <c r="J84" s="61">
        <f t="shared" si="52"/>
        <v>0</v>
      </c>
      <c r="K84" s="126">
        <f t="shared" si="52"/>
        <v>0</v>
      </c>
      <c r="L84" s="173">
        <f t="shared" si="52"/>
        <v>0</v>
      </c>
      <c r="M84" s="61">
        <f t="shared" si="52"/>
        <v>0</v>
      </c>
      <c r="N84" s="126">
        <f t="shared" si="52"/>
        <v>0</v>
      </c>
    </row>
    <row r="85" spans="1:14" x14ac:dyDescent="0.2">
      <c r="A85" s="132" t="s">
        <v>123</v>
      </c>
      <c r="B85" s="136"/>
      <c r="C85" s="140"/>
      <c r="D85" s="61"/>
      <c r="E85" s="126"/>
      <c r="F85" s="140"/>
      <c r="G85" s="61"/>
      <c r="H85" s="126"/>
      <c r="I85" s="140"/>
      <c r="J85" s="61">
        <f>I82-J82</f>
        <v>0</v>
      </c>
      <c r="K85" s="126">
        <f>J82-K82</f>
        <v>0</v>
      </c>
      <c r="L85" s="173">
        <f>K82-L82</f>
        <v>0</v>
      </c>
      <c r="M85" s="61">
        <f>L82-M82</f>
        <v>0</v>
      </c>
      <c r="N85" s="126">
        <f>M82-N82</f>
        <v>0</v>
      </c>
    </row>
    <row r="86" spans="1:14" ht="13.5" thickBot="1" x14ac:dyDescent="0.25">
      <c r="A86" s="133" t="s">
        <v>124</v>
      </c>
      <c r="B86" s="137"/>
      <c r="C86" s="141"/>
      <c r="D86" s="127"/>
      <c r="E86" s="128"/>
      <c r="F86" s="141"/>
      <c r="G86" s="127"/>
      <c r="H86" s="128"/>
      <c r="I86" s="141"/>
      <c r="J86" s="127">
        <f>IF(JulTerm&gt;0,IF(JulTerm&lt;=J80,0,JulPayment-J85),JulPayment)</f>
        <v>0</v>
      </c>
      <c r="K86" s="128">
        <f>IF(JulTerm&gt;0,IF(JulTerm&lt;=K80,0,JulPayment-K85),JulPayment)</f>
        <v>0</v>
      </c>
      <c r="L86" s="174">
        <f>IF(JulTerm&gt;0,IF(JulTerm&lt;=L80,0,JulPayment-L85),JulPayment)</f>
        <v>0</v>
      </c>
      <c r="M86" s="127">
        <f>IF(JulTerm&gt;0,IF(JulTerm&lt;=M80,0,JulPayment-M85),JulPayment)</f>
        <v>0</v>
      </c>
      <c r="N86" s="128">
        <f>IF(JulTerm&gt;0,IF(JulTerm&lt;=N80,0,JulPayment-N85),JulPayment)</f>
        <v>0</v>
      </c>
    </row>
    <row r="87" spans="1:14" hidden="1" x14ac:dyDescent="0.2">
      <c r="A87" s="134"/>
      <c r="B87" s="138"/>
      <c r="C87" s="142"/>
      <c r="D87" s="80"/>
      <c r="E87" s="143"/>
      <c r="F87" s="144"/>
      <c r="G87" s="82"/>
      <c r="H87" s="145"/>
      <c r="I87" s="144"/>
      <c r="J87" s="82"/>
      <c r="K87" s="145">
        <v>1</v>
      </c>
      <c r="L87" s="177">
        <v>2</v>
      </c>
      <c r="M87" s="82">
        <v>3</v>
      </c>
      <c r="N87" s="82">
        <v>4</v>
      </c>
    </row>
    <row r="88" spans="1:14" x14ac:dyDescent="0.2">
      <c r="A88" s="131" t="str">
        <f>"Loan taken in "&amp;Month8</f>
        <v>Loan taken in Feb</v>
      </c>
      <c r="B88" s="135"/>
      <c r="C88" s="129"/>
      <c r="D88" s="122"/>
      <c r="E88" s="130"/>
      <c r="F88" s="129"/>
      <c r="G88" s="122"/>
      <c r="H88" s="124"/>
      <c r="I88" s="146"/>
      <c r="J88" s="123"/>
      <c r="K88" s="124"/>
      <c r="L88" s="180"/>
      <c r="M88" s="123"/>
      <c r="N88" s="124"/>
    </row>
    <row r="89" spans="1:14" x14ac:dyDescent="0.2">
      <c r="A89" s="132" t="s">
        <v>130</v>
      </c>
      <c r="B89" s="136"/>
      <c r="C89" s="140"/>
      <c r="D89" s="61"/>
      <c r="E89" s="126"/>
      <c r="F89" s="140"/>
      <c r="G89" s="61"/>
      <c r="H89" s="126"/>
      <c r="I89" s="140"/>
      <c r="J89" s="61">
        <f>AugPrinciple</f>
        <v>0</v>
      </c>
      <c r="K89" s="126">
        <f>IF(AugTerm&gt;0,IF(AugTerm&lt;=K87,0,FV(AugRate/12,K87,AugPayment*-1,AugPrinciple)*-1),AugPrinciple)</f>
        <v>0</v>
      </c>
      <c r="L89" s="173">
        <f>IF(AugTerm&gt;0,IF(AugTerm&lt;=L87,0,FV(AugRate/12,L87,AugPayment*-1,AugPrinciple)*-1),AugPrinciple)</f>
        <v>0</v>
      </c>
      <c r="M89" s="61">
        <f>IF(AugTerm&gt;0,IF(AugTerm&lt;=M87,0,FV(AugRate/12,M87,AugPayment*-1,AugPrinciple)*-1),AugPrinciple)</f>
        <v>0</v>
      </c>
      <c r="N89" s="126">
        <f>IF(AugTerm&gt;0,IF(AugTerm&lt;=N87,0,FV(AugRate/12,N87,AugPayment*-1,AugPrinciple)*-1),AugPrinciple)</f>
        <v>0</v>
      </c>
    </row>
    <row r="90" spans="1:14" x14ac:dyDescent="0.2">
      <c r="A90" s="132" t="s">
        <v>128</v>
      </c>
      <c r="B90" s="136"/>
      <c r="C90" s="140"/>
      <c r="D90" s="61"/>
      <c r="E90" s="126"/>
      <c r="F90" s="140"/>
      <c r="G90" s="61"/>
      <c r="H90" s="126"/>
      <c r="I90" s="140"/>
      <c r="J90" s="61">
        <f>IF(AugTerm&gt;0,IF(AugTerm&lt;12,0,FV(AugRate/12,11,AugPayment*-1,AugPrinciple)*-1),AugPrinciple)</f>
        <v>0</v>
      </c>
      <c r="K90" s="126">
        <f>IF(AugTerm&gt;0,IF(AugTerm&lt;K87+12,0,FV(AugRate/12,K87+11,AugPayment*-1,AugPrinciple)*-1),AugPrinciple)</f>
        <v>0</v>
      </c>
      <c r="L90" s="173">
        <f>IF(AugTerm&gt;0,IF(AugTerm&lt;L87+12,0,FV(AugRate/12,L87+11,AugPayment*-1,AugPrinciple)*-1),AugPrinciple)</f>
        <v>0</v>
      </c>
      <c r="M90" s="61">
        <f>IF(AugTerm&gt;0,IF(AugTerm&lt;M87+12,0,FV(AugRate/12,M87+11,AugPayment*-1,AugPrinciple)*-1),AugPrinciple)</f>
        <v>0</v>
      </c>
      <c r="N90" s="126">
        <f>IF(AugTerm&gt;0,IF(AugTerm&lt;N87+12,0,FV(AugRate/12,N87+11,AugPayment*-1,AugPrinciple)*-1),AugPrinciple)</f>
        <v>0</v>
      </c>
    </row>
    <row r="91" spans="1:14" x14ac:dyDescent="0.2">
      <c r="A91" s="132" t="s">
        <v>127</v>
      </c>
      <c r="B91" s="136"/>
      <c r="C91" s="140"/>
      <c r="D91" s="61"/>
      <c r="E91" s="126"/>
      <c r="F91" s="140"/>
      <c r="G91" s="61"/>
      <c r="H91" s="126"/>
      <c r="I91" s="140"/>
      <c r="J91" s="61">
        <f>J89-J90</f>
        <v>0</v>
      </c>
      <c r="K91" s="126">
        <f>K89-K90</f>
        <v>0</v>
      </c>
      <c r="L91" s="173">
        <f>L89-L90</f>
        <v>0</v>
      </c>
      <c r="M91" s="61">
        <f>M89-M90</f>
        <v>0</v>
      </c>
      <c r="N91" s="126">
        <f>N89-N90</f>
        <v>0</v>
      </c>
    </row>
    <row r="92" spans="1:14" x14ac:dyDescent="0.2">
      <c r="A92" s="132" t="s">
        <v>123</v>
      </c>
      <c r="B92" s="136"/>
      <c r="C92" s="140"/>
      <c r="D92" s="61"/>
      <c r="E92" s="126"/>
      <c r="F92" s="140"/>
      <c r="G92" s="61"/>
      <c r="H92" s="126"/>
      <c r="I92" s="140"/>
      <c r="J92" s="61"/>
      <c r="K92" s="126">
        <f>J89-K89</f>
        <v>0</v>
      </c>
      <c r="L92" s="173">
        <f>K89-L89</f>
        <v>0</v>
      </c>
      <c r="M92" s="61">
        <f>L89-M89</f>
        <v>0</v>
      </c>
      <c r="N92" s="126">
        <f>M89-N89</f>
        <v>0</v>
      </c>
    </row>
    <row r="93" spans="1:14" ht="13.5" thickBot="1" x14ac:dyDescent="0.25">
      <c r="A93" s="133" t="s">
        <v>124</v>
      </c>
      <c r="B93" s="137"/>
      <c r="C93" s="141"/>
      <c r="D93" s="127"/>
      <c r="E93" s="128"/>
      <c r="F93" s="141"/>
      <c r="G93" s="127"/>
      <c r="H93" s="128"/>
      <c r="I93" s="141"/>
      <c r="J93" s="127"/>
      <c r="K93" s="128">
        <f>IF(AugTerm&gt;0,IF(AugTerm&lt;=K87,0,AugPayment-K92),AugPayment)</f>
        <v>0</v>
      </c>
      <c r="L93" s="174">
        <f>IF(AugTerm&gt;0,IF(AugTerm&lt;=L87,0,AugPayment-L92),AugPayment)</f>
        <v>0</v>
      </c>
      <c r="M93" s="127">
        <f>IF(AugTerm&gt;0,IF(AugTerm&lt;=M87,0,AugPayment-M92),AugPayment)</f>
        <v>0</v>
      </c>
      <c r="N93" s="128">
        <f>IF(AugTerm&gt;0,IF(AugTerm&lt;=N87,0,AugPayment-N92),AugPayment)</f>
        <v>0</v>
      </c>
    </row>
    <row r="94" spans="1:14" hidden="1" x14ac:dyDescent="0.2">
      <c r="A94" s="134"/>
      <c r="B94" s="138"/>
      <c r="C94" s="142"/>
      <c r="D94" s="80"/>
      <c r="E94" s="143"/>
      <c r="F94" s="144"/>
      <c r="G94" s="82"/>
      <c r="H94" s="145"/>
      <c r="I94" s="144"/>
      <c r="J94" s="82"/>
      <c r="K94" s="145"/>
      <c r="L94" s="177">
        <v>1</v>
      </c>
      <c r="M94" s="82">
        <v>2</v>
      </c>
      <c r="N94" s="82">
        <v>3</v>
      </c>
    </row>
    <row r="95" spans="1:14" x14ac:dyDescent="0.2">
      <c r="A95" s="131" t="str">
        <f>"Loan taken in "&amp;Month9</f>
        <v>Loan taken in Mar</v>
      </c>
      <c r="B95" s="135"/>
      <c r="C95" s="129"/>
      <c r="D95" s="122"/>
      <c r="E95" s="130"/>
      <c r="F95" s="129"/>
      <c r="G95" s="122"/>
      <c r="H95" s="124"/>
      <c r="I95" s="146"/>
      <c r="J95" s="123"/>
      <c r="K95" s="124"/>
      <c r="L95" s="180"/>
      <c r="M95" s="123"/>
      <c r="N95" s="124"/>
    </row>
    <row r="96" spans="1:14" x14ac:dyDescent="0.2">
      <c r="A96" s="132" t="s">
        <v>130</v>
      </c>
      <c r="B96" s="136"/>
      <c r="C96" s="140"/>
      <c r="D96" s="61"/>
      <c r="E96" s="126"/>
      <c r="F96" s="140"/>
      <c r="G96" s="61"/>
      <c r="H96" s="126"/>
      <c r="I96" s="140"/>
      <c r="J96" s="61"/>
      <c r="K96" s="126">
        <f>SepPrinciple</f>
        <v>0</v>
      </c>
      <c r="L96" s="173">
        <f>IF(SepTerm&gt;0,IF(SepTerm&lt;=L94,0,FV(SepRate/12,L94,SepPayment*-1,SepPrinciple)*-1),SepPrinciple)</f>
        <v>0</v>
      </c>
      <c r="M96" s="61">
        <f>IF(SepTerm&gt;0,IF(SepTerm&lt;=M94,0,FV(SepRate/12,M94,SepPayment*-1,SepPrinciple)*-1),SepPrinciple)</f>
        <v>0</v>
      </c>
      <c r="N96" s="126">
        <f>IF(SepTerm&gt;0,IF(SepTerm&lt;=N94,0,FV(SepRate/12,N94,SepPayment*-1,SepPrinciple)*-1),SepPrinciple)</f>
        <v>0</v>
      </c>
    </row>
    <row r="97" spans="1:14" x14ac:dyDescent="0.2">
      <c r="A97" s="132" t="s">
        <v>128</v>
      </c>
      <c r="B97" s="136"/>
      <c r="C97" s="140"/>
      <c r="D97" s="61"/>
      <c r="E97" s="126"/>
      <c r="F97" s="140"/>
      <c r="G97" s="61"/>
      <c r="H97" s="126"/>
      <c r="I97" s="140"/>
      <c r="J97" s="61"/>
      <c r="K97" s="126">
        <f>IF(SepTerm&gt;0,IF(SepTerm&lt;12,0,FV(SepRate/12,11,SepPayment*-1,SepPrinciple)*-1),SepPrinciple)</f>
        <v>0</v>
      </c>
      <c r="L97" s="173">
        <f>IF(SepTerm&gt;0,IF(SepTerm&lt;L94+12,0,FV(SepRate/12,L94+11,SepPayment*-1,SepPrinciple)*-1),SepPrinciple)</f>
        <v>0</v>
      </c>
      <c r="M97" s="61">
        <f>IF(SepTerm&gt;0,IF(SepTerm&lt;M94+12,0,FV(SepRate/12,M94+11,SepPayment*-1,SepPrinciple)*-1),SepPrinciple)</f>
        <v>0</v>
      </c>
      <c r="N97" s="126">
        <f>IF(SepTerm&gt;0,IF(SepTerm&lt;N94+12,0,FV(SepRate/12,N94+11,SepPayment*-1,SepPrinciple)*-1),SepPrinciple)</f>
        <v>0</v>
      </c>
    </row>
    <row r="98" spans="1:14" x14ac:dyDescent="0.2">
      <c r="A98" s="132" t="s">
        <v>127</v>
      </c>
      <c r="B98" s="136"/>
      <c r="C98" s="140"/>
      <c r="D98" s="61"/>
      <c r="E98" s="126"/>
      <c r="F98" s="140"/>
      <c r="G98" s="61"/>
      <c r="H98" s="126"/>
      <c r="I98" s="140"/>
      <c r="J98" s="61"/>
      <c r="K98" s="126">
        <f>K96-K97</f>
        <v>0</v>
      </c>
      <c r="L98" s="173">
        <f>L96-L97</f>
        <v>0</v>
      </c>
      <c r="M98" s="61">
        <f>M96-M97</f>
        <v>0</v>
      </c>
      <c r="N98" s="126">
        <f>N96-N97</f>
        <v>0</v>
      </c>
    </row>
    <row r="99" spans="1:14" x14ac:dyDescent="0.2">
      <c r="A99" s="132" t="s">
        <v>123</v>
      </c>
      <c r="B99" s="136"/>
      <c r="C99" s="140"/>
      <c r="D99" s="61"/>
      <c r="E99" s="126"/>
      <c r="F99" s="140"/>
      <c r="G99" s="61"/>
      <c r="H99" s="126"/>
      <c r="I99" s="140"/>
      <c r="J99" s="61"/>
      <c r="K99" s="126"/>
      <c r="L99" s="173">
        <f>K96-L96</f>
        <v>0</v>
      </c>
      <c r="M99" s="61">
        <f>L96-M96</f>
        <v>0</v>
      </c>
      <c r="N99" s="126">
        <f>M96-N96</f>
        <v>0</v>
      </c>
    </row>
    <row r="100" spans="1:14" ht="13.5" thickBot="1" x14ac:dyDescent="0.25">
      <c r="A100" s="133" t="s">
        <v>124</v>
      </c>
      <c r="B100" s="137"/>
      <c r="C100" s="141"/>
      <c r="D100" s="127"/>
      <c r="E100" s="128"/>
      <c r="F100" s="141"/>
      <c r="G100" s="127"/>
      <c r="H100" s="128"/>
      <c r="I100" s="141"/>
      <c r="J100" s="127"/>
      <c r="K100" s="128"/>
      <c r="L100" s="174">
        <f>IF(SepTerm&gt;0,IF(SepTerm&lt;=L94,0,SepPayment-L99),SepPayment)</f>
        <v>0</v>
      </c>
      <c r="M100" s="127">
        <f>IF(SepTerm&gt;0,IF(SepTerm&lt;=M94,0,SepPayment-M99),SepPayment)</f>
        <v>0</v>
      </c>
      <c r="N100" s="128">
        <f>IF(SepTerm&gt;0,IF(SepTerm&lt;=N94,0,SepPayment-N99),SepPayment)</f>
        <v>0</v>
      </c>
    </row>
    <row r="101" spans="1:14" hidden="1" x14ac:dyDescent="0.2">
      <c r="A101" s="134"/>
      <c r="B101" s="138"/>
      <c r="C101" s="142"/>
      <c r="D101" s="80"/>
      <c r="E101" s="143"/>
      <c r="F101" s="144"/>
      <c r="G101" s="82"/>
      <c r="H101" s="145"/>
      <c r="I101" s="144"/>
      <c r="J101" s="82"/>
      <c r="K101" s="145"/>
      <c r="L101" s="177"/>
      <c r="M101" s="82">
        <v>1</v>
      </c>
      <c r="N101" s="82">
        <v>2</v>
      </c>
    </row>
    <row r="102" spans="1:14" x14ac:dyDescent="0.2">
      <c r="A102" s="131" t="str">
        <f>"Loan taken in "&amp;Month10</f>
        <v>Loan taken in Apr</v>
      </c>
      <c r="B102" s="135"/>
      <c r="C102" s="129"/>
      <c r="D102" s="122"/>
      <c r="E102" s="130"/>
      <c r="F102" s="129"/>
      <c r="G102" s="122"/>
      <c r="H102" s="124"/>
      <c r="I102" s="146"/>
      <c r="J102" s="123"/>
      <c r="K102" s="124"/>
      <c r="L102" s="180"/>
      <c r="M102" s="123"/>
      <c r="N102" s="124"/>
    </row>
    <row r="103" spans="1:14" x14ac:dyDescent="0.2">
      <c r="A103" s="132" t="s">
        <v>130</v>
      </c>
      <c r="B103" s="136"/>
      <c r="C103" s="140"/>
      <c r="D103" s="61"/>
      <c r="E103" s="126"/>
      <c r="F103" s="140"/>
      <c r="G103" s="61"/>
      <c r="H103" s="126"/>
      <c r="I103" s="140"/>
      <c r="J103" s="61"/>
      <c r="K103" s="126"/>
      <c r="L103" s="173">
        <f>OctPrinciple</f>
        <v>0</v>
      </c>
      <c r="M103" s="61">
        <f>IF(OctTerm&gt;0,IF(OctTerm&lt;=M101,0,FV(OctRate/12,M101,OctPayment*-1,OctPrinciple)*-1),OctPrinciple)</f>
        <v>0</v>
      </c>
      <c r="N103" s="126">
        <f>IF(OctTerm&gt;0,IF(OctTerm&lt;=N101,0,FV(OctRate/12,N101,OctPayment*-1,OctPrinciple)*-1),OctPrinciple)</f>
        <v>0</v>
      </c>
    </row>
    <row r="104" spans="1:14" x14ac:dyDescent="0.2">
      <c r="A104" s="132" t="s">
        <v>128</v>
      </c>
      <c r="B104" s="136"/>
      <c r="C104" s="140"/>
      <c r="D104" s="61"/>
      <c r="E104" s="126"/>
      <c r="F104" s="140"/>
      <c r="G104" s="61"/>
      <c r="H104" s="126"/>
      <c r="I104" s="140"/>
      <c r="J104" s="61"/>
      <c r="K104" s="126"/>
      <c r="L104" s="173">
        <f>IF(OctTerm&gt;0,IF(OctTerm&lt;12,0,FV(OctRate/12,11,OctPayment*-1,OctPrinciple)*-1),OctPrinciple)</f>
        <v>0</v>
      </c>
      <c r="M104" s="61">
        <f>IF(OctTerm&gt;0,IF(OctTerm&lt;M101+12,0,FV(OctRate/12,M101+11,OctPayment*-1,OctPrinciple)*-1),OctPrinciple)</f>
        <v>0</v>
      </c>
      <c r="N104" s="126">
        <f>IF(OctTerm&gt;0,IF(OctTerm&lt;N101+12,0,FV(OctRate/12,N101+11,OctPayment*-1,OctPrinciple)*-1),OctPrinciple)</f>
        <v>0</v>
      </c>
    </row>
    <row r="105" spans="1:14" x14ac:dyDescent="0.2">
      <c r="A105" s="132" t="s">
        <v>127</v>
      </c>
      <c r="B105" s="136"/>
      <c r="C105" s="140"/>
      <c r="D105" s="61"/>
      <c r="E105" s="126"/>
      <c r="F105" s="140"/>
      <c r="G105" s="61"/>
      <c r="H105" s="126"/>
      <c r="I105" s="140"/>
      <c r="J105" s="61"/>
      <c r="K105" s="126"/>
      <c r="L105" s="173">
        <f>L103-L104</f>
        <v>0</v>
      </c>
      <c r="M105" s="61">
        <f>M103-M104</f>
        <v>0</v>
      </c>
      <c r="N105" s="126">
        <f>N103-N104</f>
        <v>0</v>
      </c>
    </row>
    <row r="106" spans="1:14" x14ac:dyDescent="0.2">
      <c r="A106" s="132" t="s">
        <v>123</v>
      </c>
      <c r="B106" s="136"/>
      <c r="C106" s="140"/>
      <c r="D106" s="61"/>
      <c r="E106" s="126"/>
      <c r="F106" s="140"/>
      <c r="G106" s="61"/>
      <c r="H106" s="126"/>
      <c r="I106" s="140"/>
      <c r="J106" s="61"/>
      <c r="K106" s="126"/>
      <c r="L106" s="173"/>
      <c r="M106" s="61">
        <f>L103-M103</f>
        <v>0</v>
      </c>
      <c r="N106" s="126">
        <f>M103-N103</f>
        <v>0</v>
      </c>
    </row>
    <row r="107" spans="1:14" ht="13.5" thickBot="1" x14ac:dyDescent="0.25">
      <c r="A107" s="133" t="s">
        <v>124</v>
      </c>
      <c r="B107" s="137"/>
      <c r="C107" s="141"/>
      <c r="D107" s="127"/>
      <c r="E107" s="128"/>
      <c r="F107" s="141"/>
      <c r="G107" s="127"/>
      <c r="H107" s="128"/>
      <c r="I107" s="141"/>
      <c r="J107" s="127"/>
      <c r="K107" s="128"/>
      <c r="L107" s="174"/>
      <c r="M107" s="127">
        <f>IF(OctTerm&gt;0,IF(OctTerm&lt;=M101,0,OctPayment-M106),OctPayment)</f>
        <v>0</v>
      </c>
      <c r="N107" s="128">
        <f>IF(OctTerm&gt;0,IF(OctTerm&lt;=N101,0,OctPayment-N106),OctPayment)</f>
        <v>0</v>
      </c>
    </row>
    <row r="108" spans="1:14" hidden="1" x14ac:dyDescent="0.2">
      <c r="A108" s="134"/>
      <c r="B108" s="138"/>
      <c r="C108" s="142"/>
      <c r="D108" s="80"/>
      <c r="E108" s="143"/>
      <c r="F108" s="144"/>
      <c r="G108" s="82"/>
      <c r="H108" s="145"/>
      <c r="I108" s="144"/>
      <c r="J108" s="82"/>
      <c r="K108" s="145"/>
      <c r="L108" s="177"/>
      <c r="M108" s="82"/>
      <c r="N108" s="82">
        <v>1</v>
      </c>
    </row>
    <row r="109" spans="1:14" x14ac:dyDescent="0.2">
      <c r="A109" s="131" t="str">
        <f>"Loan taken in "&amp;Month11</f>
        <v>Loan taken in May</v>
      </c>
      <c r="B109" s="135"/>
      <c r="C109" s="129"/>
      <c r="D109" s="122"/>
      <c r="E109" s="130"/>
      <c r="F109" s="129"/>
      <c r="G109" s="122"/>
      <c r="H109" s="124"/>
      <c r="I109" s="146"/>
      <c r="J109" s="123"/>
      <c r="K109" s="124"/>
      <c r="L109" s="180"/>
      <c r="M109" s="123"/>
      <c r="N109" s="124"/>
    </row>
    <row r="110" spans="1:14" x14ac:dyDescent="0.2">
      <c r="A110" s="132" t="s">
        <v>130</v>
      </c>
      <c r="B110" s="136"/>
      <c r="C110" s="140"/>
      <c r="D110" s="61"/>
      <c r="E110" s="126"/>
      <c r="F110" s="140"/>
      <c r="G110" s="61"/>
      <c r="H110" s="126"/>
      <c r="I110" s="140"/>
      <c r="J110" s="61"/>
      <c r="K110" s="126"/>
      <c r="L110" s="173"/>
      <c r="M110" s="61">
        <f>NovPrinciple</f>
        <v>0</v>
      </c>
      <c r="N110" s="126">
        <f>IF(NovTerm&gt;0,IF(NovTerm&lt;=N108,0,FV(NovRate/12,N108,NovPayment*-1,NovPrinciple)*-1),NovPrinciple)</f>
        <v>0</v>
      </c>
    </row>
    <row r="111" spans="1:14" x14ac:dyDescent="0.2">
      <c r="A111" s="132" t="s">
        <v>128</v>
      </c>
      <c r="B111" s="136"/>
      <c r="C111" s="140"/>
      <c r="D111" s="61"/>
      <c r="E111" s="126"/>
      <c r="F111" s="140"/>
      <c r="G111" s="61"/>
      <c r="H111" s="126"/>
      <c r="I111" s="140"/>
      <c r="J111" s="61"/>
      <c r="K111" s="126"/>
      <c r="L111" s="173"/>
      <c r="M111" s="61">
        <f>IF(NovTerm&gt;0,IF(NovTerm&lt;12,0,FV(NovRate/12,11,NovPayment*-1,NovPrinciple)*-1),NovPrinciple)</f>
        <v>0</v>
      </c>
      <c r="N111" s="126">
        <f>IF(NovTerm&gt;0,IF(NovTerm&lt;N108+12,0,FV(NovRate/12,N108+11,NovPayment*-1,NovPrinciple)*-1),NovPrinciple)</f>
        <v>0</v>
      </c>
    </row>
    <row r="112" spans="1:14" x14ac:dyDescent="0.2">
      <c r="A112" s="132" t="s">
        <v>127</v>
      </c>
      <c r="B112" s="136"/>
      <c r="C112" s="140"/>
      <c r="D112" s="61"/>
      <c r="E112" s="126"/>
      <c r="F112" s="140"/>
      <c r="G112" s="61"/>
      <c r="H112" s="126"/>
      <c r="I112" s="140"/>
      <c r="J112" s="61"/>
      <c r="K112" s="126"/>
      <c r="L112" s="173"/>
      <c r="M112" s="61">
        <f>M110-M111</f>
        <v>0</v>
      </c>
      <c r="N112" s="126">
        <f>N110-N111</f>
        <v>0</v>
      </c>
    </row>
    <row r="113" spans="1:14" x14ac:dyDescent="0.2">
      <c r="A113" s="132" t="s">
        <v>123</v>
      </c>
      <c r="B113" s="136"/>
      <c r="C113" s="140"/>
      <c r="D113" s="61"/>
      <c r="E113" s="126"/>
      <c r="F113" s="140"/>
      <c r="G113" s="61"/>
      <c r="H113" s="126"/>
      <c r="I113" s="140"/>
      <c r="J113" s="61"/>
      <c r="K113" s="126"/>
      <c r="L113" s="173"/>
      <c r="M113" s="61"/>
      <c r="N113" s="126">
        <f>M110-N110</f>
        <v>0</v>
      </c>
    </row>
    <row r="114" spans="1:14" ht="13.5" thickBot="1" x14ac:dyDescent="0.25">
      <c r="A114" s="133" t="s">
        <v>124</v>
      </c>
      <c r="B114" s="137"/>
      <c r="C114" s="141"/>
      <c r="D114" s="127"/>
      <c r="E114" s="128"/>
      <c r="F114" s="141"/>
      <c r="G114" s="127"/>
      <c r="H114" s="128"/>
      <c r="I114" s="141"/>
      <c r="J114" s="127"/>
      <c r="K114" s="128"/>
      <c r="L114" s="174"/>
      <c r="M114" s="127"/>
      <c r="N114" s="128">
        <f>IF(NovTerm&gt;0,IF(NovTerm&lt;=N108,0,NovPayment-N113),NovPayment)</f>
        <v>0</v>
      </c>
    </row>
    <row r="115" spans="1:14" hidden="1" x14ac:dyDescent="0.2">
      <c r="A115" s="168"/>
      <c r="B115" s="156"/>
      <c r="C115" s="157"/>
      <c r="D115" s="158"/>
      <c r="E115" s="159"/>
      <c r="F115" s="161"/>
      <c r="G115" s="81"/>
      <c r="H115" s="160"/>
      <c r="I115" s="161"/>
      <c r="J115" s="81"/>
      <c r="K115" s="160"/>
      <c r="L115" s="178"/>
      <c r="M115" s="81"/>
      <c r="N115" s="81">
        <v>0</v>
      </c>
    </row>
    <row r="116" spans="1:14" x14ac:dyDescent="0.2">
      <c r="A116" s="169" t="str">
        <f>"Loan taken in "&amp;Month12</f>
        <v>Loan taken in Jun</v>
      </c>
      <c r="B116" s="176"/>
      <c r="C116" s="125"/>
      <c r="D116" s="1"/>
      <c r="E116" s="179"/>
      <c r="F116" s="125"/>
      <c r="G116" s="1"/>
      <c r="H116" s="182"/>
      <c r="I116" s="183"/>
      <c r="J116" s="104"/>
      <c r="K116" s="182"/>
      <c r="L116" s="181"/>
      <c r="M116" s="104"/>
      <c r="N116" s="104"/>
    </row>
    <row r="117" spans="1:14" x14ac:dyDescent="0.2">
      <c r="A117" s="170" t="s">
        <v>130</v>
      </c>
      <c r="B117" s="136"/>
      <c r="C117" s="140"/>
      <c r="D117" s="61"/>
      <c r="E117" s="126"/>
      <c r="F117" s="140"/>
      <c r="G117" s="61"/>
      <c r="H117" s="126"/>
      <c r="I117" s="140"/>
      <c r="J117" s="61"/>
      <c r="K117" s="126"/>
      <c r="L117" s="173"/>
      <c r="M117" s="61"/>
      <c r="N117" s="61">
        <f>DecPrinciple</f>
        <v>0</v>
      </c>
    </row>
    <row r="118" spans="1:14" x14ac:dyDescent="0.2">
      <c r="A118" s="170" t="s">
        <v>128</v>
      </c>
      <c r="B118" s="136"/>
      <c r="C118" s="140"/>
      <c r="D118" s="61"/>
      <c r="E118" s="126"/>
      <c r="F118" s="140"/>
      <c r="G118" s="61"/>
      <c r="H118" s="126"/>
      <c r="I118" s="140"/>
      <c r="J118" s="61"/>
      <c r="K118" s="126"/>
      <c r="L118" s="173"/>
      <c r="M118" s="61"/>
      <c r="N118" s="61">
        <f>IF(DecTerm&gt;0,IF(DecTerm&lt;12,0,FV(DecRate/12,11,DecPayment*-1,DecPrinciple)*-1),DecPrinciple)</f>
        <v>0</v>
      </c>
    </row>
    <row r="119" spans="1:14" x14ac:dyDescent="0.2">
      <c r="A119" s="170" t="s">
        <v>127</v>
      </c>
      <c r="B119" s="136"/>
      <c r="C119" s="140"/>
      <c r="D119" s="61"/>
      <c r="E119" s="126"/>
      <c r="F119" s="140"/>
      <c r="G119" s="61"/>
      <c r="H119" s="126"/>
      <c r="I119" s="140"/>
      <c r="J119" s="61"/>
      <c r="K119" s="126"/>
      <c r="L119" s="173"/>
      <c r="M119" s="61"/>
      <c r="N119" s="61">
        <f>N117-N118</f>
        <v>0</v>
      </c>
    </row>
    <row r="120" spans="1:14" x14ac:dyDescent="0.2">
      <c r="A120" s="170" t="s">
        <v>123</v>
      </c>
      <c r="B120" s="136"/>
      <c r="C120" s="140"/>
      <c r="D120" s="61"/>
      <c r="E120" s="126"/>
      <c r="F120" s="140"/>
      <c r="G120" s="61"/>
      <c r="H120" s="126"/>
      <c r="I120" s="140"/>
      <c r="J120" s="61"/>
      <c r="K120" s="126"/>
      <c r="L120" s="173"/>
      <c r="M120" s="61"/>
      <c r="N120" s="61">
        <v>0</v>
      </c>
    </row>
    <row r="121" spans="1:14" ht="13.5" thickBot="1" x14ac:dyDescent="0.25">
      <c r="A121" s="167" t="s">
        <v>124</v>
      </c>
      <c r="B121" s="162"/>
      <c r="C121" s="163"/>
      <c r="D121" s="164"/>
      <c r="E121" s="165"/>
      <c r="F121" s="163"/>
      <c r="G121" s="164"/>
      <c r="H121" s="165"/>
      <c r="I121" s="163"/>
      <c r="J121" s="164"/>
      <c r="K121" s="165"/>
      <c r="L121" s="175"/>
      <c r="M121" s="164"/>
      <c r="N121" s="164">
        <v>0</v>
      </c>
    </row>
    <row r="122" spans="1:14" x14ac:dyDescent="0.2">
      <c r="A122" s="131" t="s">
        <v>132</v>
      </c>
      <c r="B122" s="135"/>
      <c r="C122" s="129"/>
      <c r="D122" s="122"/>
      <c r="E122" s="130"/>
      <c r="F122" s="129"/>
      <c r="G122" s="122"/>
      <c r="H122" s="130"/>
      <c r="I122" s="129"/>
      <c r="J122" s="122"/>
      <c r="K122" s="130"/>
      <c r="L122" s="172"/>
      <c r="M122" s="122"/>
      <c r="N122" s="130"/>
    </row>
    <row r="123" spans="1:14" x14ac:dyDescent="0.2">
      <c r="A123" s="132" t="s">
        <v>130</v>
      </c>
      <c r="B123" s="136">
        <f>SUM(B10,B16,B22,B28,B34,B40,B47,B54,B61,B68,B75,B82,B89,B96,B103,B110,B117)</f>
        <v>0</v>
      </c>
      <c r="C123" s="140">
        <f t="shared" ref="C123:N123" si="53">SUM(C10,C16,C22,C28,C34,C40,C47,C54,C61,C68,C75,C82,C89,C96,C103,C110,C117)</f>
        <v>0</v>
      </c>
      <c r="D123" s="61">
        <f t="shared" si="53"/>
        <v>0</v>
      </c>
      <c r="E123" s="126">
        <f t="shared" si="53"/>
        <v>0</v>
      </c>
      <c r="F123" s="140">
        <f t="shared" si="53"/>
        <v>0</v>
      </c>
      <c r="G123" s="61">
        <f t="shared" si="53"/>
        <v>0</v>
      </c>
      <c r="H123" s="126">
        <f t="shared" si="53"/>
        <v>0</v>
      </c>
      <c r="I123" s="140">
        <f t="shared" si="53"/>
        <v>0</v>
      </c>
      <c r="J123" s="61">
        <f t="shared" si="53"/>
        <v>0</v>
      </c>
      <c r="K123" s="126">
        <f t="shared" si="53"/>
        <v>0</v>
      </c>
      <c r="L123" s="173">
        <f t="shared" si="53"/>
        <v>0</v>
      </c>
      <c r="M123" s="61">
        <f t="shared" si="53"/>
        <v>0</v>
      </c>
      <c r="N123" s="126">
        <f t="shared" si="53"/>
        <v>0</v>
      </c>
    </row>
    <row r="124" spans="1:14" x14ac:dyDescent="0.2">
      <c r="A124" s="132" t="s">
        <v>128</v>
      </c>
      <c r="B124" s="136">
        <f>SUM(B11,B17,B23,B29,B35,B41,B48,B55,B62,B69,B76,B83,B90,B97,B104,B111,B118)</f>
        <v>0</v>
      </c>
      <c r="C124" s="140">
        <f t="shared" ref="C124:N124" si="54">SUM(C11,C17,C23,C29,C35,C41,C48,C55,C62,C69,C76,C83,C90,C97,C104,C111,C118)</f>
        <v>0</v>
      </c>
      <c r="D124" s="61">
        <f t="shared" si="54"/>
        <v>0</v>
      </c>
      <c r="E124" s="126">
        <f t="shared" si="54"/>
        <v>0</v>
      </c>
      <c r="F124" s="140">
        <f t="shared" si="54"/>
        <v>0</v>
      </c>
      <c r="G124" s="61">
        <f t="shared" si="54"/>
        <v>0</v>
      </c>
      <c r="H124" s="126">
        <f t="shared" si="54"/>
        <v>0</v>
      </c>
      <c r="I124" s="140">
        <f t="shared" si="54"/>
        <v>0</v>
      </c>
      <c r="J124" s="61">
        <f t="shared" si="54"/>
        <v>0</v>
      </c>
      <c r="K124" s="126">
        <f t="shared" si="54"/>
        <v>0</v>
      </c>
      <c r="L124" s="173">
        <f t="shared" si="54"/>
        <v>0</v>
      </c>
      <c r="M124" s="61">
        <f t="shared" si="54"/>
        <v>0</v>
      </c>
      <c r="N124" s="126">
        <f t="shared" si="54"/>
        <v>0</v>
      </c>
    </row>
    <row r="125" spans="1:14" x14ac:dyDescent="0.2">
      <c r="A125" s="132" t="s">
        <v>127</v>
      </c>
      <c r="B125" s="136">
        <f>SUM(B12,B18,B24,B30,B36,B42,B49,B56,B63,B70,B77,B84,B91,B98,B105,B112,B119)</f>
        <v>0</v>
      </c>
      <c r="C125" s="140">
        <f t="shared" ref="C125:N125" si="55">SUM(C12,C18,C24,C30,C36,C42,C49,C56,C63,C70,C77,C84,C91,C98,C105,C112,C119)</f>
        <v>0</v>
      </c>
      <c r="D125" s="61">
        <f t="shared" si="55"/>
        <v>0</v>
      </c>
      <c r="E125" s="126">
        <f t="shared" si="55"/>
        <v>0</v>
      </c>
      <c r="F125" s="140">
        <f t="shared" si="55"/>
        <v>0</v>
      </c>
      <c r="G125" s="61">
        <f t="shared" si="55"/>
        <v>0</v>
      </c>
      <c r="H125" s="126">
        <f t="shared" si="55"/>
        <v>0</v>
      </c>
      <c r="I125" s="140">
        <f t="shared" si="55"/>
        <v>0</v>
      </c>
      <c r="J125" s="61">
        <f t="shared" si="55"/>
        <v>0</v>
      </c>
      <c r="K125" s="126">
        <f t="shared" si="55"/>
        <v>0</v>
      </c>
      <c r="L125" s="173">
        <f t="shared" si="55"/>
        <v>0</v>
      </c>
      <c r="M125" s="61">
        <f t="shared" si="55"/>
        <v>0</v>
      </c>
      <c r="N125" s="126">
        <f t="shared" si="55"/>
        <v>0</v>
      </c>
    </row>
    <row r="126" spans="1:14" x14ac:dyDescent="0.2">
      <c r="A126" s="132" t="s">
        <v>123</v>
      </c>
      <c r="B126" s="136">
        <f>SUM(B13,B19,B25,B31,B37,B43,B50,B57,B64,B71,B78,B85,B92,B99,B106,B113,B120)</f>
        <v>0</v>
      </c>
      <c r="C126" s="140">
        <f t="shared" ref="C126:N126" si="56">SUM(C13,C19,C25,C31,C37,C43,C50,C57,C64,C71,C78,C85,C92,C99,C106,C113,C120)</f>
        <v>0</v>
      </c>
      <c r="D126" s="61">
        <f t="shared" si="56"/>
        <v>0</v>
      </c>
      <c r="E126" s="126">
        <f t="shared" si="56"/>
        <v>0</v>
      </c>
      <c r="F126" s="140">
        <f t="shared" si="56"/>
        <v>0</v>
      </c>
      <c r="G126" s="61">
        <f t="shared" si="56"/>
        <v>0</v>
      </c>
      <c r="H126" s="126">
        <f t="shared" si="56"/>
        <v>0</v>
      </c>
      <c r="I126" s="140">
        <f t="shared" si="56"/>
        <v>0</v>
      </c>
      <c r="J126" s="61">
        <f t="shared" si="56"/>
        <v>0</v>
      </c>
      <c r="K126" s="126">
        <f t="shared" si="56"/>
        <v>0</v>
      </c>
      <c r="L126" s="173">
        <f t="shared" si="56"/>
        <v>0</v>
      </c>
      <c r="M126" s="61">
        <f t="shared" si="56"/>
        <v>0</v>
      </c>
      <c r="N126" s="126">
        <f t="shared" si="56"/>
        <v>0</v>
      </c>
    </row>
    <row r="127" spans="1:14" x14ac:dyDescent="0.2">
      <c r="A127" s="132" t="s">
        <v>124</v>
      </c>
      <c r="B127" s="136">
        <f>SUM(B14,B20,B26,B32,B38,B44,B51,B58,B65,B72,B79,B86,B93,B100,B107,B114,B121)</f>
        <v>0</v>
      </c>
      <c r="C127" s="140">
        <f t="shared" ref="C127:M127" si="57">SUM(C14,C20,C26,C32,C38,C44,C51,C58,C65,C72,C79,C86,C93,C100,C107,C114,C121)</f>
        <v>0</v>
      </c>
      <c r="D127" s="61">
        <f t="shared" si="57"/>
        <v>0</v>
      </c>
      <c r="E127" s="126">
        <f t="shared" si="57"/>
        <v>0</v>
      </c>
      <c r="F127" s="140">
        <f t="shared" si="57"/>
        <v>0</v>
      </c>
      <c r="G127" s="61">
        <f t="shared" si="57"/>
        <v>0</v>
      </c>
      <c r="H127" s="126">
        <f t="shared" si="57"/>
        <v>0</v>
      </c>
      <c r="I127" s="140">
        <f t="shared" si="57"/>
        <v>0</v>
      </c>
      <c r="J127" s="61">
        <f t="shared" si="57"/>
        <v>0</v>
      </c>
      <c r="K127" s="126">
        <f t="shared" si="57"/>
        <v>0</v>
      </c>
      <c r="L127" s="173">
        <f t="shared" si="57"/>
        <v>0</v>
      </c>
      <c r="M127" s="61">
        <f t="shared" si="57"/>
        <v>0</v>
      </c>
      <c r="N127" s="126">
        <f>SUM(N14,N20,N26,N32,N38,N44,N51,N58,N65,N72,N79,N86,N93,N100,N107,N114,N121)</f>
        <v>0</v>
      </c>
    </row>
    <row r="128" spans="1:14" ht="13.5" thickBot="1" x14ac:dyDescent="0.25">
      <c r="A128" s="133" t="s">
        <v>133</v>
      </c>
      <c r="B128" s="139"/>
      <c r="C128" s="141">
        <f>C126+C127</f>
        <v>0</v>
      </c>
      <c r="D128" s="127">
        <f t="shared" ref="D128:N128" si="58">D126+D127</f>
        <v>0</v>
      </c>
      <c r="E128" s="128">
        <f t="shared" si="58"/>
        <v>0</v>
      </c>
      <c r="F128" s="141">
        <f t="shared" si="58"/>
        <v>0</v>
      </c>
      <c r="G128" s="127">
        <f t="shared" si="58"/>
        <v>0</v>
      </c>
      <c r="H128" s="128">
        <f t="shared" si="58"/>
        <v>0</v>
      </c>
      <c r="I128" s="141">
        <f t="shared" si="58"/>
        <v>0</v>
      </c>
      <c r="J128" s="127">
        <f t="shared" si="58"/>
        <v>0</v>
      </c>
      <c r="K128" s="128">
        <f t="shared" si="58"/>
        <v>0</v>
      </c>
      <c r="L128" s="174">
        <f t="shared" si="58"/>
        <v>0</v>
      </c>
      <c r="M128" s="127">
        <f t="shared" si="58"/>
        <v>0</v>
      </c>
      <c r="N128" s="128">
        <f t="shared" si="58"/>
        <v>0</v>
      </c>
    </row>
    <row r="131" spans="1:1" x14ac:dyDescent="0.2">
      <c r="A131" s="72"/>
    </row>
  </sheetData>
  <mergeCells count="5">
    <mergeCell ref="A2:N2"/>
    <mergeCell ref="A3:N3"/>
    <mergeCell ref="A4:N4"/>
    <mergeCell ref="A5:N5"/>
    <mergeCell ref="A1:N1"/>
  </mergeCells>
  <phoneticPr fontId="2" type="noConversion"/>
  <pageMargins left="0.75" right="0.75" top="1" bottom="1" header="0.5" footer="0.5"/>
  <pageSetup scale="69" fitToHeight="2" orientation="portrait" horizontalDpi="4294967293"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workbookViewId="0">
      <selection sqref="A1:N1"/>
    </sheetView>
  </sheetViews>
  <sheetFormatPr defaultRowHeight="12.75" x14ac:dyDescent="0.2"/>
  <cols>
    <col min="1" max="1" width="20.42578125" style="6" bestFit="1" customWidth="1"/>
    <col min="2" max="2" width="8.42578125" style="6" bestFit="1" customWidth="1"/>
    <col min="3" max="12" width="7.5703125" style="6" bestFit="1" customWidth="1"/>
    <col min="13" max="14" width="8.5703125" style="6" bestFit="1" customWidth="1"/>
    <col min="15" max="18" width="0" style="6" hidden="1" customWidth="1"/>
    <col min="19" max="16384" width="9.140625" style="6"/>
  </cols>
  <sheetData>
    <row r="1" spans="1:22" ht="99.95" customHeight="1" x14ac:dyDescent="0.2">
      <c r="A1" s="193"/>
      <c r="B1" s="193"/>
      <c r="C1" s="193"/>
      <c r="D1" s="193"/>
      <c r="E1" s="193"/>
      <c r="F1" s="193"/>
      <c r="G1" s="193"/>
      <c r="H1" s="193"/>
      <c r="I1" s="193"/>
      <c r="J1" s="193"/>
      <c r="K1" s="193"/>
      <c r="L1" s="193"/>
      <c r="M1" s="193"/>
      <c r="N1" s="193"/>
    </row>
    <row r="2" spans="1:22" ht="18" x14ac:dyDescent="0.25">
      <c r="A2" s="188" t="s">
        <v>182</v>
      </c>
      <c r="B2" s="188"/>
      <c r="C2" s="188"/>
      <c r="D2" s="188"/>
      <c r="E2" s="188"/>
      <c r="F2" s="188"/>
      <c r="G2" s="188"/>
      <c r="H2" s="188"/>
      <c r="I2" s="188"/>
      <c r="J2" s="188"/>
      <c r="K2" s="188"/>
      <c r="L2" s="188"/>
      <c r="M2" s="188"/>
      <c r="N2" s="188"/>
    </row>
    <row r="3" spans="1:22" s="57" customFormat="1" ht="18" x14ac:dyDescent="0.25">
      <c r="A3" s="188" t="str">
        <f>CompanyHeader</f>
        <v>Your Company Name Here (2020 - 2021)</v>
      </c>
      <c r="B3" s="192"/>
      <c r="C3" s="192"/>
      <c r="D3" s="192"/>
      <c r="E3" s="192"/>
      <c r="F3" s="192"/>
      <c r="G3" s="192"/>
      <c r="H3" s="192"/>
      <c r="I3" s="192"/>
      <c r="J3" s="192"/>
      <c r="K3" s="192"/>
      <c r="L3" s="192"/>
      <c r="M3" s="192"/>
      <c r="N3" s="192"/>
      <c r="O3" s="56"/>
      <c r="P3" s="56"/>
      <c r="Q3" s="56"/>
      <c r="R3" s="56"/>
      <c r="S3" s="56"/>
      <c r="T3" s="56"/>
      <c r="U3" s="56"/>
      <c r="V3" s="56"/>
    </row>
    <row r="4" spans="1:22" x14ac:dyDescent="0.2">
      <c r="A4" s="7"/>
      <c r="B4" s="7"/>
      <c r="C4" s="7"/>
      <c r="D4" s="7"/>
      <c r="E4" s="7"/>
      <c r="F4" s="7"/>
      <c r="G4" s="7"/>
      <c r="H4" s="7"/>
      <c r="I4" s="7"/>
      <c r="J4" s="7"/>
      <c r="K4" s="7"/>
      <c r="L4" s="7"/>
      <c r="M4" s="7"/>
      <c r="N4" s="7"/>
    </row>
    <row r="5" spans="1:22" s="12" customFormat="1" x14ac:dyDescent="0.2">
      <c r="A5" s="11" t="s">
        <v>183</v>
      </c>
      <c r="B5" s="11" t="str">
        <f>Month1</f>
        <v>Jul</v>
      </c>
      <c r="C5" s="11" t="str">
        <f>Month2</f>
        <v>Aug</v>
      </c>
      <c r="D5" s="11" t="str">
        <f>Month3</f>
        <v>Sep</v>
      </c>
      <c r="E5" s="11" t="str">
        <f>Month4</f>
        <v>Oct</v>
      </c>
      <c r="F5" s="11" t="str">
        <f>Month5</f>
        <v>Nov</v>
      </c>
      <c r="G5" s="11" t="str">
        <f>Month6</f>
        <v>Dec</v>
      </c>
      <c r="H5" s="11" t="str">
        <f>Month7</f>
        <v>Jan</v>
      </c>
      <c r="I5" s="11" t="str">
        <f>Month8</f>
        <v>Feb</v>
      </c>
      <c r="J5" s="11" t="str">
        <f>Month9</f>
        <v>Mar</v>
      </c>
      <c r="K5" s="11" t="str">
        <f>Month10</f>
        <v>Apr</v>
      </c>
      <c r="L5" s="11" t="str">
        <f>Month11</f>
        <v>May</v>
      </c>
      <c r="M5" s="11" t="str">
        <f>Month12</f>
        <v>Jun</v>
      </c>
      <c r="N5" s="11" t="s">
        <v>23</v>
      </c>
      <c r="O5" s="6" t="s">
        <v>8</v>
      </c>
      <c r="P5" s="6" t="s">
        <v>9</v>
      </c>
      <c r="Q5" s="6" t="s">
        <v>10</v>
      </c>
      <c r="R5" s="6" t="s">
        <v>11</v>
      </c>
    </row>
    <row r="6" spans="1:22" x14ac:dyDescent="0.2">
      <c r="A6" s="3"/>
      <c r="B6" s="4"/>
      <c r="C6" s="4"/>
      <c r="D6" s="4"/>
      <c r="E6" s="4"/>
      <c r="F6" s="4"/>
      <c r="G6" s="4"/>
      <c r="H6" s="4"/>
      <c r="I6" s="4"/>
      <c r="J6" s="4"/>
      <c r="K6" s="4"/>
      <c r="L6" s="4"/>
      <c r="M6" s="43"/>
      <c r="N6" s="9">
        <f t="shared" ref="N6:N12" si="0">SUM(B6:M6)</f>
        <v>0</v>
      </c>
      <c r="O6" s="8">
        <f t="shared" ref="O6:O12" si="1">SUM(B6:D6)</f>
        <v>0</v>
      </c>
      <c r="P6" s="8">
        <f t="shared" ref="P6:P12" si="2">SUM(E6:G6)</f>
        <v>0</v>
      </c>
      <c r="Q6" s="8">
        <f t="shared" ref="Q6:Q12" si="3">SUM(H6:J6)</f>
        <v>0</v>
      </c>
      <c r="R6" s="8">
        <f t="shared" ref="R6:R12" si="4">SUM(K6:M6)</f>
        <v>0</v>
      </c>
    </row>
    <row r="7" spans="1:22" x14ac:dyDescent="0.2">
      <c r="A7" s="3"/>
      <c r="B7" s="4"/>
      <c r="C7" s="4"/>
      <c r="D7" s="4"/>
      <c r="E7" s="4"/>
      <c r="F7" s="4"/>
      <c r="G7" s="4"/>
      <c r="H7" s="4"/>
      <c r="I7" s="4"/>
      <c r="J7" s="4"/>
      <c r="K7" s="4"/>
      <c r="L7" s="4"/>
      <c r="M7" s="43"/>
      <c r="N7" s="9">
        <f t="shared" si="0"/>
        <v>0</v>
      </c>
      <c r="O7" s="8">
        <f t="shared" si="1"/>
        <v>0</v>
      </c>
      <c r="P7" s="8">
        <f t="shared" si="2"/>
        <v>0</v>
      </c>
      <c r="Q7" s="8">
        <f t="shared" si="3"/>
        <v>0</v>
      </c>
      <c r="R7" s="8">
        <f t="shared" si="4"/>
        <v>0</v>
      </c>
    </row>
    <row r="8" spans="1:22" x14ac:dyDescent="0.2">
      <c r="A8" s="3"/>
      <c r="B8" s="4"/>
      <c r="C8" s="4"/>
      <c r="D8" s="4"/>
      <c r="E8" s="4"/>
      <c r="F8" s="4"/>
      <c r="G8" s="4"/>
      <c r="H8" s="4"/>
      <c r="I8" s="4"/>
      <c r="J8" s="4"/>
      <c r="K8" s="4"/>
      <c r="L8" s="4"/>
      <c r="M8" s="43"/>
      <c r="N8" s="9">
        <f t="shared" si="0"/>
        <v>0</v>
      </c>
      <c r="O8" s="8">
        <f t="shared" si="1"/>
        <v>0</v>
      </c>
      <c r="P8" s="8">
        <f t="shared" si="2"/>
        <v>0</v>
      </c>
      <c r="Q8" s="8">
        <f t="shared" si="3"/>
        <v>0</v>
      </c>
      <c r="R8" s="8">
        <f t="shared" si="4"/>
        <v>0</v>
      </c>
    </row>
    <row r="9" spans="1:22" x14ac:dyDescent="0.2">
      <c r="A9" s="3"/>
      <c r="B9" s="4"/>
      <c r="C9" s="4"/>
      <c r="D9" s="4"/>
      <c r="E9" s="4"/>
      <c r="F9" s="4"/>
      <c r="G9" s="4"/>
      <c r="H9" s="4"/>
      <c r="I9" s="4"/>
      <c r="J9" s="4"/>
      <c r="K9" s="4"/>
      <c r="L9" s="4"/>
      <c r="M9" s="43"/>
      <c r="N9" s="9">
        <f t="shared" si="0"/>
        <v>0</v>
      </c>
      <c r="O9" s="8">
        <f t="shared" si="1"/>
        <v>0</v>
      </c>
      <c r="P9" s="8">
        <f t="shared" si="2"/>
        <v>0</v>
      </c>
      <c r="Q9" s="8">
        <f t="shared" si="3"/>
        <v>0</v>
      </c>
      <c r="R9" s="8">
        <f t="shared" si="4"/>
        <v>0</v>
      </c>
    </row>
    <row r="10" spans="1:22" x14ac:dyDescent="0.2">
      <c r="A10" s="3"/>
      <c r="B10" s="4"/>
      <c r="C10" s="4"/>
      <c r="D10" s="4"/>
      <c r="E10" s="4"/>
      <c r="F10" s="4"/>
      <c r="G10" s="4"/>
      <c r="H10" s="4"/>
      <c r="I10" s="4"/>
      <c r="J10" s="4"/>
      <c r="K10" s="4"/>
      <c r="L10" s="4"/>
      <c r="M10" s="43"/>
      <c r="N10" s="9">
        <f t="shared" si="0"/>
        <v>0</v>
      </c>
      <c r="O10" s="8">
        <f t="shared" si="1"/>
        <v>0</v>
      </c>
      <c r="P10" s="8">
        <f t="shared" si="2"/>
        <v>0</v>
      </c>
      <c r="Q10" s="8">
        <f t="shared" si="3"/>
        <v>0</v>
      </c>
      <c r="R10" s="8">
        <f t="shared" si="4"/>
        <v>0</v>
      </c>
    </row>
    <row r="11" spans="1:22" x14ac:dyDescent="0.2">
      <c r="A11" s="3"/>
      <c r="B11" s="4"/>
      <c r="C11" s="4"/>
      <c r="D11" s="4"/>
      <c r="E11" s="4"/>
      <c r="F11" s="4"/>
      <c r="G11" s="4"/>
      <c r="H11" s="4"/>
      <c r="I11" s="4"/>
      <c r="J11" s="4"/>
      <c r="K11" s="4"/>
      <c r="L11" s="4"/>
      <c r="M11" s="43"/>
      <c r="N11" s="9">
        <f t="shared" si="0"/>
        <v>0</v>
      </c>
      <c r="O11" s="8">
        <f t="shared" si="1"/>
        <v>0</v>
      </c>
      <c r="P11" s="8">
        <f t="shared" si="2"/>
        <v>0</v>
      </c>
      <c r="Q11" s="8">
        <f t="shared" si="3"/>
        <v>0</v>
      </c>
      <c r="R11" s="8">
        <f t="shared" si="4"/>
        <v>0</v>
      </c>
    </row>
    <row r="12" spans="1:22" x14ac:dyDescent="0.2">
      <c r="A12" s="3"/>
      <c r="B12" s="4"/>
      <c r="C12" s="4"/>
      <c r="D12" s="4"/>
      <c r="E12" s="4"/>
      <c r="F12" s="4"/>
      <c r="G12" s="4"/>
      <c r="H12" s="4"/>
      <c r="I12" s="4"/>
      <c r="J12" s="4"/>
      <c r="K12" s="4"/>
      <c r="L12" s="4"/>
      <c r="M12" s="43"/>
      <c r="N12" s="9">
        <f t="shared" si="0"/>
        <v>0</v>
      </c>
      <c r="O12" s="8">
        <f t="shared" si="1"/>
        <v>0</v>
      </c>
      <c r="P12" s="8">
        <f t="shared" si="2"/>
        <v>0</v>
      </c>
      <c r="Q12" s="8">
        <f t="shared" si="3"/>
        <v>0</v>
      </c>
      <c r="R12" s="8">
        <f t="shared" si="4"/>
        <v>0</v>
      </c>
    </row>
    <row r="13" spans="1:22" x14ac:dyDescent="0.2">
      <c r="A13" s="13" t="s">
        <v>23</v>
      </c>
      <c r="B13" s="9">
        <f>SUM(B6:B12)</f>
        <v>0</v>
      </c>
      <c r="C13" s="9">
        <f t="shared" ref="C13:N13" si="5">SUM(C6:C12)</f>
        <v>0</v>
      </c>
      <c r="D13" s="9">
        <f t="shared" si="5"/>
        <v>0</v>
      </c>
      <c r="E13" s="9">
        <f t="shared" si="5"/>
        <v>0</v>
      </c>
      <c r="F13" s="9">
        <f t="shared" si="5"/>
        <v>0</v>
      </c>
      <c r="G13" s="9">
        <f t="shared" si="5"/>
        <v>0</v>
      </c>
      <c r="H13" s="9">
        <f t="shared" si="5"/>
        <v>0</v>
      </c>
      <c r="I13" s="9">
        <f t="shared" si="5"/>
        <v>0</v>
      </c>
      <c r="J13" s="9">
        <f t="shared" si="5"/>
        <v>0</v>
      </c>
      <c r="K13" s="9">
        <f t="shared" si="5"/>
        <v>0</v>
      </c>
      <c r="L13" s="9">
        <f t="shared" si="5"/>
        <v>0</v>
      </c>
      <c r="M13" s="9">
        <f t="shared" si="5"/>
        <v>0</v>
      </c>
      <c r="N13" s="9">
        <f t="shared" si="5"/>
        <v>0</v>
      </c>
    </row>
    <row r="14" spans="1:22" x14ac:dyDescent="0.2">
      <c r="A14" s="7"/>
      <c r="B14" s="7"/>
      <c r="C14" s="7"/>
      <c r="D14" s="7"/>
      <c r="E14" s="7"/>
      <c r="F14" s="7"/>
      <c r="G14" s="7"/>
      <c r="H14" s="7"/>
      <c r="I14" s="7"/>
      <c r="J14" s="7"/>
      <c r="K14" s="7"/>
      <c r="L14" s="7"/>
      <c r="M14" s="7"/>
      <c r="N14" s="7"/>
    </row>
    <row r="15" spans="1:22" x14ac:dyDescent="0.2">
      <c r="A15" s="13" t="s">
        <v>185</v>
      </c>
      <c r="B15" s="26">
        <f>JanEqmt/60+(PreviousFixedAssets-PreviousDepreciation)/60</f>
        <v>0</v>
      </c>
      <c r="C15" s="26">
        <f>JanDepr+FebEqmt/60</f>
        <v>0</v>
      </c>
      <c r="D15" s="26">
        <f>FebDepr+MarEqmt/60</f>
        <v>0</v>
      </c>
      <c r="E15" s="26">
        <f>MarDepr+AprEqmt/60</f>
        <v>0</v>
      </c>
      <c r="F15" s="26">
        <f>AprDepr+MayEqmt/60</f>
        <v>0</v>
      </c>
      <c r="G15" s="26">
        <f>MayDepr+JunEqmt/60</f>
        <v>0</v>
      </c>
      <c r="H15" s="26">
        <f>JunDepr + JulEqmt/60</f>
        <v>0</v>
      </c>
      <c r="I15" s="26">
        <f>JulDepr +AugEqmt/60</f>
        <v>0</v>
      </c>
      <c r="J15" s="26">
        <f>AugDepr +SepEqmt/60</f>
        <v>0</v>
      </c>
      <c r="K15" s="26">
        <f>SepDepr+OctEqmt/60</f>
        <v>0</v>
      </c>
      <c r="L15" s="26">
        <f>OctDepr+NovEqmt/60</f>
        <v>0</v>
      </c>
      <c r="M15" s="26">
        <f>NovDepr+DecEqmt/60</f>
        <v>0</v>
      </c>
      <c r="N15" s="26">
        <f>SUM(B15:M15)</f>
        <v>0</v>
      </c>
    </row>
  </sheetData>
  <mergeCells count="3">
    <mergeCell ref="A2:N2"/>
    <mergeCell ref="A3:N3"/>
    <mergeCell ref="A1:N1"/>
  </mergeCells>
  <phoneticPr fontId="2" type="noConversion"/>
  <pageMargins left="0.75" right="0.75" top="1" bottom="1" header="0.5" footer="0.5"/>
  <pageSetup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4"/>
  <sheetViews>
    <sheetView workbookViewId="0">
      <selection sqref="A1:N1"/>
    </sheetView>
  </sheetViews>
  <sheetFormatPr defaultRowHeight="12.75" x14ac:dyDescent="0.2"/>
  <cols>
    <col min="1" max="1" width="23" style="6" bestFit="1" customWidth="1"/>
    <col min="2" max="2" width="8.140625" style="6" bestFit="1" customWidth="1"/>
    <col min="3" max="3" width="7.7109375" style="6" bestFit="1" customWidth="1"/>
    <col min="4" max="4" width="9.140625" style="6" bestFit="1"/>
    <col min="5" max="5" width="9.5703125" style="6" bestFit="1" customWidth="1"/>
    <col min="6" max="8" width="10.5703125" style="6" bestFit="1" customWidth="1"/>
    <col min="9" max="12" width="8.7109375" style="6" bestFit="1" customWidth="1"/>
    <col min="13" max="13" width="8.85546875" style="6" bestFit="1" customWidth="1"/>
    <col min="14" max="14" width="12.7109375" style="6" bestFit="1" customWidth="1"/>
    <col min="15" max="19" width="9.140625" style="72"/>
    <col min="20" max="16384" width="9.140625" style="6"/>
  </cols>
  <sheetData>
    <row r="1" spans="1:19" ht="99.95" customHeight="1" x14ac:dyDescent="0.2">
      <c r="A1" s="193"/>
      <c r="B1" s="193"/>
      <c r="C1" s="193"/>
      <c r="D1" s="193"/>
      <c r="E1" s="193"/>
      <c r="F1" s="193"/>
      <c r="G1" s="193"/>
      <c r="H1" s="193"/>
      <c r="I1" s="193"/>
      <c r="J1" s="193"/>
      <c r="K1" s="193"/>
      <c r="L1" s="193"/>
      <c r="M1" s="193"/>
      <c r="N1" s="193"/>
    </row>
    <row r="2" spans="1:19" ht="18" x14ac:dyDescent="0.25">
      <c r="A2" s="201" t="s">
        <v>218</v>
      </c>
      <c r="B2" s="202"/>
      <c r="C2" s="202"/>
      <c r="D2" s="202"/>
      <c r="E2" s="203"/>
      <c r="F2" s="203"/>
      <c r="G2" s="203"/>
      <c r="H2" s="203"/>
      <c r="I2" s="203"/>
      <c r="J2" s="203"/>
      <c r="K2" s="203"/>
      <c r="L2" s="203"/>
      <c r="M2" s="203"/>
      <c r="N2" s="204"/>
    </row>
    <row r="3" spans="1:19" s="57" customFormat="1" ht="18" x14ac:dyDescent="0.25">
      <c r="A3" s="188" t="str">
        <f>CompanyHeader</f>
        <v>Your Company Name Here (2020 - 2021)</v>
      </c>
      <c r="B3" s="188"/>
      <c r="C3" s="192"/>
      <c r="D3" s="192"/>
      <c r="E3" s="192"/>
      <c r="F3" s="192"/>
      <c r="G3" s="192"/>
      <c r="H3" s="192"/>
      <c r="I3" s="192"/>
      <c r="J3" s="192"/>
      <c r="K3" s="192"/>
      <c r="L3" s="192"/>
      <c r="M3" s="192"/>
      <c r="N3" s="192"/>
      <c r="O3" s="56"/>
      <c r="P3" s="56"/>
      <c r="Q3" s="56"/>
      <c r="R3" s="56"/>
      <c r="S3" s="56"/>
    </row>
    <row r="4" spans="1:19" s="57" customFormat="1" ht="13.5" thickBot="1" x14ac:dyDescent="0.25">
      <c r="A4" s="209" t="str">
        <f>IF(N32=0,"","Monthly sales required for breakeven:   " &amp; DOLLAR(N36/((1-N33/N32)*12)))</f>
        <v/>
      </c>
      <c r="B4" s="210"/>
      <c r="C4" s="210"/>
      <c r="D4" s="210"/>
      <c r="E4" s="210"/>
      <c r="F4" s="210"/>
      <c r="G4" s="210"/>
      <c r="H4" s="210"/>
      <c r="I4" s="210"/>
      <c r="J4" s="210"/>
      <c r="K4" s="210"/>
      <c r="L4" s="210"/>
      <c r="M4" s="210"/>
      <c r="N4" s="211"/>
      <c r="O4" s="56"/>
      <c r="P4" s="56"/>
      <c r="Q4" s="56"/>
      <c r="R4" s="56"/>
      <c r="S4" s="56"/>
    </row>
    <row r="5" spans="1:19" s="12" customFormat="1" ht="13.5" thickBot="1" x14ac:dyDescent="0.25">
      <c r="A5" s="52"/>
      <c r="B5" s="11" t="str">
        <f>Month1</f>
        <v>Jul</v>
      </c>
      <c r="C5" s="11" t="str">
        <f>Month2</f>
        <v>Aug</v>
      </c>
      <c r="D5" s="11" t="str">
        <f>Month3</f>
        <v>Sep</v>
      </c>
      <c r="E5" s="11" t="str">
        <f>Month4</f>
        <v>Oct</v>
      </c>
      <c r="F5" s="11" t="str">
        <f>Month5</f>
        <v>Nov</v>
      </c>
      <c r="G5" s="11" t="str">
        <f>Month6</f>
        <v>Dec</v>
      </c>
      <c r="H5" s="11" t="str">
        <f>Month7</f>
        <v>Jan</v>
      </c>
      <c r="I5" s="11" t="str">
        <f>Month8</f>
        <v>Feb</v>
      </c>
      <c r="J5" s="11" t="str">
        <f>Month9</f>
        <v>Mar</v>
      </c>
      <c r="K5" s="11" t="str">
        <f>Month10</f>
        <v>Apr</v>
      </c>
      <c r="L5" s="11" t="str">
        <f>Month11</f>
        <v>May</v>
      </c>
      <c r="M5" s="11" t="str">
        <f>Month12</f>
        <v>Jun</v>
      </c>
      <c r="N5" s="52" t="s">
        <v>23</v>
      </c>
      <c r="O5" s="111"/>
      <c r="P5" s="111"/>
      <c r="Q5" s="111"/>
      <c r="R5" s="111"/>
      <c r="S5" s="111"/>
    </row>
    <row r="6" spans="1:19" x14ac:dyDescent="0.2">
      <c r="A6" s="47" t="str">
        <f>IF(Line1Name="","",Line1Name)</f>
        <v>Product #1</v>
      </c>
      <c r="B6" s="14"/>
      <c r="C6" s="14"/>
      <c r="D6" s="14"/>
      <c r="E6" s="14"/>
      <c r="F6" s="15"/>
      <c r="G6" s="15"/>
      <c r="H6" s="15"/>
      <c r="I6" s="48"/>
      <c r="J6" s="48"/>
      <c r="K6" s="48"/>
      <c r="L6" s="48"/>
      <c r="M6" s="48"/>
      <c r="N6" s="48"/>
    </row>
    <row r="7" spans="1:19" x14ac:dyDescent="0.2">
      <c r="A7" s="7" t="s">
        <v>74</v>
      </c>
      <c r="B7" s="16">
        <f>JanLine1Price*JanLine1Units*(1-ReturnRate)</f>
        <v>0</v>
      </c>
      <c r="C7" s="16">
        <f>FebLine1Units*FebLine1Price*(1-ReturnRate)</f>
        <v>0</v>
      </c>
      <c r="D7" s="16">
        <f>MarLine1Units*MarLine1Price*(1-ReturnRate)</f>
        <v>0</v>
      </c>
      <c r="E7" s="16">
        <f>AprLine1Units*AprLine1Price*(1-ReturnRate)</f>
        <v>0</v>
      </c>
      <c r="F7" s="16">
        <f>MayLine1Units*MayLine1Price*(1-ReturnRate)</f>
        <v>0</v>
      </c>
      <c r="G7" s="16">
        <f>JunLine1Units*JunLine1Price*(1-ReturnRate)</f>
        <v>0</v>
      </c>
      <c r="H7" s="16">
        <f>JulLine1Units*JulLine1Price*(1-ReturnRate)</f>
        <v>0</v>
      </c>
      <c r="I7" s="16">
        <f>AugLine1Units*AugLine1Price*(1-ReturnRate)</f>
        <v>0</v>
      </c>
      <c r="J7" s="16">
        <f>SepLine1Units*SepLine1Price*(1-ReturnRate)</f>
        <v>0</v>
      </c>
      <c r="K7" s="16">
        <f>OctLine1Units*OctLine1Price*(1-ReturnRate)</f>
        <v>0</v>
      </c>
      <c r="L7" s="16">
        <f>NovLine1Units*NovLine1Price*(1-ReturnRate)</f>
        <v>0</v>
      </c>
      <c r="M7" s="16">
        <f>DecLine1Units*DecLine1Price*(1-ReturnRate)</f>
        <v>0</v>
      </c>
      <c r="N7" s="9">
        <f>SUM(B7:M7)</f>
        <v>0</v>
      </c>
    </row>
    <row r="8" spans="1:19" x14ac:dyDescent="0.2">
      <c r="A8" s="7" t="s">
        <v>76</v>
      </c>
      <c r="B8" s="26">
        <f>(JanLine1Labor*1.15+JanLine1Mat+JanLine1Freight)*JanLine1Units</f>
        <v>0</v>
      </c>
      <c r="C8" s="26">
        <f>(FebLine1Labor*1.15+FebLine1Mat+FebLine1Freight)*FebLine1Units</f>
        <v>0</v>
      </c>
      <c r="D8" s="26">
        <f>(MarLine1Labor*1.15+MarLine1Mat+MarLine1Freight)*MarLine1Units</f>
        <v>0</v>
      </c>
      <c r="E8" s="26">
        <f>(AprLine1Labor*1.15+AprLine1Mat+AprLine1Freight)*AprLine1Units</f>
        <v>0</v>
      </c>
      <c r="F8" s="26">
        <f>(MayLine1Labor*1.15+MayLine1Mat+MayLine1Freight)*MayLine1Units</f>
        <v>0</v>
      </c>
      <c r="G8" s="26">
        <f>(JunLine1Labor*1.15+JunLine1Mat+JunLine1Freight)*JunLine1Units</f>
        <v>0</v>
      </c>
      <c r="H8" s="26">
        <f>(JulLine1Labor*1.15+JulLine1Mat+JulLine1Freight)*JulLine1Units</f>
        <v>0</v>
      </c>
      <c r="I8" s="26">
        <f>(AugLine1Labor*1.15+AugLine1Mat+AugLine1Freight)*AugLine1Units</f>
        <v>0</v>
      </c>
      <c r="J8" s="26">
        <f>(SepLine1Labor*1.15+SepLine1Mat+SepLine1Freight)*SepLine1Units</f>
        <v>0</v>
      </c>
      <c r="K8" s="26">
        <f>(OctLine1Labor*1.15+OctLine1Mat+OctLine1Freight)*OctLine1Units</f>
        <v>0</v>
      </c>
      <c r="L8" s="26">
        <f>(NovLine1Labor*1.15+NovLine1Mat+NovLine1Freight)*NovLine1Units</f>
        <v>0</v>
      </c>
      <c r="M8" s="26">
        <f>(DecLine1Labor*1.15+DecLine1Mat+DecLine1Freight)*DecLine1Units</f>
        <v>0</v>
      </c>
      <c r="N8" s="9">
        <f>SUM(B8:M8)</f>
        <v>0</v>
      </c>
    </row>
    <row r="9" spans="1:19" x14ac:dyDescent="0.2">
      <c r="A9" s="49" t="s">
        <v>77</v>
      </c>
      <c r="B9" s="50">
        <f>B7-B8</f>
        <v>0</v>
      </c>
      <c r="C9" s="50">
        <f t="shared" ref="C9:M9" si="0">C7-C8</f>
        <v>0</v>
      </c>
      <c r="D9" s="50">
        <f t="shared" si="0"/>
        <v>0</v>
      </c>
      <c r="E9" s="50">
        <f t="shared" si="0"/>
        <v>0</v>
      </c>
      <c r="F9" s="50">
        <f t="shared" si="0"/>
        <v>0</v>
      </c>
      <c r="G9" s="50">
        <f t="shared" si="0"/>
        <v>0</v>
      </c>
      <c r="H9" s="50">
        <f t="shared" si="0"/>
        <v>0</v>
      </c>
      <c r="I9" s="50">
        <f t="shared" si="0"/>
        <v>0</v>
      </c>
      <c r="J9" s="50">
        <f t="shared" si="0"/>
        <v>0</v>
      </c>
      <c r="K9" s="50">
        <f t="shared" si="0"/>
        <v>0</v>
      </c>
      <c r="L9" s="50">
        <f t="shared" si="0"/>
        <v>0</v>
      </c>
      <c r="M9" s="50">
        <f t="shared" si="0"/>
        <v>0</v>
      </c>
      <c r="N9" s="9">
        <f>SUM(B9:M9)</f>
        <v>0</v>
      </c>
    </row>
    <row r="10" spans="1:19" ht="13.5" thickBot="1" x14ac:dyDescent="0.25">
      <c r="A10" s="116" t="s">
        <v>250</v>
      </c>
      <c r="B10" s="117" t="str">
        <f>IF(B7=0,"",(B7-B9)/B7)</f>
        <v/>
      </c>
      <c r="C10" s="117" t="str">
        <f t="shared" ref="C10:N10" si="1">IF(C7=0,"",(C7-C9)/C7)</f>
        <v/>
      </c>
      <c r="D10" s="117" t="str">
        <f t="shared" si="1"/>
        <v/>
      </c>
      <c r="E10" s="117" t="str">
        <f t="shared" si="1"/>
        <v/>
      </c>
      <c r="F10" s="117" t="str">
        <f t="shared" si="1"/>
        <v/>
      </c>
      <c r="G10" s="117" t="str">
        <f t="shared" si="1"/>
        <v/>
      </c>
      <c r="H10" s="117" t="str">
        <f t="shared" si="1"/>
        <v/>
      </c>
      <c r="I10" s="117" t="str">
        <f t="shared" si="1"/>
        <v/>
      </c>
      <c r="J10" s="117" t="str">
        <f t="shared" si="1"/>
        <v/>
      </c>
      <c r="K10" s="117" t="str">
        <f t="shared" si="1"/>
        <v/>
      </c>
      <c r="L10" s="117" t="str">
        <f t="shared" si="1"/>
        <v/>
      </c>
      <c r="M10" s="117" t="str">
        <f t="shared" si="1"/>
        <v/>
      </c>
      <c r="N10" s="117" t="str">
        <f t="shared" si="1"/>
        <v/>
      </c>
    </row>
    <row r="11" spans="1:19" x14ac:dyDescent="0.2">
      <c r="A11" s="47" t="str">
        <f>IF(Line2Name="","",Line2Name)</f>
        <v>Product #2</v>
      </c>
      <c r="B11" s="14"/>
      <c r="C11" s="14"/>
      <c r="D11" s="14"/>
      <c r="E11" s="14"/>
      <c r="F11" s="15" t="str">
        <f>IF(B11&lt;&gt;0,(ABS((C11-B11)/B11)),"")</f>
        <v/>
      </c>
      <c r="G11" s="15" t="str">
        <f>IF(C11&lt;&gt;0,(ABS((D11-C11)/C11)),"")</f>
        <v/>
      </c>
      <c r="H11" s="15" t="str">
        <f>IF($E$5="","",IF(D11&lt;&gt;0,(ABS((E11-D11)/D11)),""))</f>
        <v/>
      </c>
      <c r="I11" s="48"/>
      <c r="J11" s="48"/>
      <c r="K11" s="48"/>
      <c r="L11" s="48"/>
      <c r="M11" s="48"/>
      <c r="N11" s="48"/>
    </row>
    <row r="12" spans="1:19" x14ac:dyDescent="0.2">
      <c r="A12" s="7" t="s">
        <v>74</v>
      </c>
      <c r="B12" s="16">
        <f>JanLine2Units*JanLine2Price*(1-ReturnRate)</f>
        <v>0</v>
      </c>
      <c r="C12" s="16">
        <f>FebLine2Units*FebLine2Price*(1-ReturnRate)</f>
        <v>0</v>
      </c>
      <c r="D12" s="16">
        <f>MarLine2Units*MarLine2Price*(1-ReturnRate)</f>
        <v>0</v>
      </c>
      <c r="E12" s="16">
        <f>AprLine2Units*AprLine2Price*(1-ReturnRate)</f>
        <v>0</v>
      </c>
      <c r="F12" s="16">
        <f>MayLine2Units*MayLine2Price*(1-ReturnRate)</f>
        <v>0</v>
      </c>
      <c r="G12" s="16">
        <f>JunLine2Units*JunLine2Price*(1-ReturnRate)</f>
        <v>0</v>
      </c>
      <c r="H12" s="16">
        <f>JulLine2Units*JulLine2Price*(1-ReturnRate)</f>
        <v>0</v>
      </c>
      <c r="I12" s="16">
        <f>AugLine2Units*AugLine2Price*(1-ReturnRate)</f>
        <v>0</v>
      </c>
      <c r="J12" s="16">
        <f>SepLine2Units*SepLine2Price*(1-ReturnRate)</f>
        <v>0</v>
      </c>
      <c r="K12" s="16">
        <f>OctLine2Units*OctLine2Price*(1-ReturnRate)</f>
        <v>0</v>
      </c>
      <c r="L12" s="16">
        <f>NovLine2Units*NovLine2Price*(1-ReturnRate)</f>
        <v>0</v>
      </c>
      <c r="M12" s="16">
        <f>DecLine2Units*DecLine2Price*(1-ReturnRate)</f>
        <v>0</v>
      </c>
      <c r="N12" s="9">
        <f>SUM(B12:M12)</f>
        <v>0</v>
      </c>
    </row>
    <row r="13" spans="1:19" x14ac:dyDescent="0.2">
      <c r="A13" s="7" t="s">
        <v>76</v>
      </c>
      <c r="B13" s="26">
        <f>(JanLine2Labor*1.15+JanLine2Mat+JanLine2Freight)*JanLine2Units</f>
        <v>0</v>
      </c>
      <c r="C13" s="26">
        <f>(FebLine2Labor*1.15+FebLine2Mat+FebLine2Freight)*FebLine2Units</f>
        <v>0</v>
      </c>
      <c r="D13" s="26">
        <f>(MarLine2Labor*1.15+MarLine2Mat+MarLine2Freight)*MarLine2Units</f>
        <v>0</v>
      </c>
      <c r="E13" s="26">
        <f>(AprLine2Labor*1.15+AprLine2Mat+AprLine2Freight)*AprLine2Units</f>
        <v>0</v>
      </c>
      <c r="F13" s="26">
        <f>(MayLine2Labor*1.15+MayLine2Mat+MayLine2Freight)*MayLine2Units</f>
        <v>0</v>
      </c>
      <c r="G13" s="26">
        <f>(JunLine2Labor*1.15+JunLine2Mat+JunLine2Freight)*JunLine2Units</f>
        <v>0</v>
      </c>
      <c r="H13" s="26">
        <f>(JulLine2Labor*1.15+JulLine2Mat+JulLine2Freight)*JulLine2Units</f>
        <v>0</v>
      </c>
      <c r="I13" s="26">
        <f>(AugLine2Labor*1.15+AugLine2Mat+AugLine2Freight)*AugLine2Units</f>
        <v>0</v>
      </c>
      <c r="J13" s="26">
        <f>(SepLine2Labor*1.15+SepLine2Mat+SepLine2Freight)*SepLine2Units</f>
        <v>0</v>
      </c>
      <c r="K13" s="26">
        <f>(OctLine2Labor*1.15+OctLine2Mat+OctLine2Freight)*OctLine2Units</f>
        <v>0</v>
      </c>
      <c r="L13" s="26">
        <f>(NovLine2Labor*1.15+NovLine2Mat+NovLine2Freight)*NovLine2Units</f>
        <v>0</v>
      </c>
      <c r="M13" s="26">
        <f>(DecLine2Labor*1.15+DecLine2Mat+DecLine2Freight)*DecLine2Units</f>
        <v>0</v>
      </c>
      <c r="N13" s="9">
        <f>SUM(B13:M13)</f>
        <v>0</v>
      </c>
    </row>
    <row r="14" spans="1:19" x14ac:dyDescent="0.2">
      <c r="A14" s="49" t="s">
        <v>77</v>
      </c>
      <c r="B14" s="50">
        <f>B12-B13</f>
        <v>0</v>
      </c>
      <c r="C14" s="50">
        <f t="shared" ref="C14:M14" si="2">C12-C13</f>
        <v>0</v>
      </c>
      <c r="D14" s="50">
        <f t="shared" si="2"/>
        <v>0</v>
      </c>
      <c r="E14" s="50">
        <f t="shared" si="2"/>
        <v>0</v>
      </c>
      <c r="F14" s="50">
        <f t="shared" si="2"/>
        <v>0</v>
      </c>
      <c r="G14" s="50">
        <f t="shared" si="2"/>
        <v>0</v>
      </c>
      <c r="H14" s="50">
        <f t="shared" si="2"/>
        <v>0</v>
      </c>
      <c r="I14" s="50">
        <f t="shared" si="2"/>
        <v>0</v>
      </c>
      <c r="J14" s="50">
        <f t="shared" si="2"/>
        <v>0</v>
      </c>
      <c r="K14" s="50">
        <f t="shared" si="2"/>
        <v>0</v>
      </c>
      <c r="L14" s="50">
        <f t="shared" si="2"/>
        <v>0</v>
      </c>
      <c r="M14" s="50">
        <f t="shared" si="2"/>
        <v>0</v>
      </c>
      <c r="N14" s="9">
        <f>SUM(B14:M14)</f>
        <v>0</v>
      </c>
    </row>
    <row r="15" spans="1:19" ht="13.5" thickBot="1" x14ac:dyDescent="0.25">
      <c r="A15" s="116" t="s">
        <v>250</v>
      </c>
      <c r="B15" s="117" t="str">
        <f t="shared" ref="B15:N15" si="3">IF(B12=0,"",(B12-B14)/B12)</f>
        <v/>
      </c>
      <c r="C15" s="117" t="str">
        <f t="shared" si="3"/>
        <v/>
      </c>
      <c r="D15" s="117" t="str">
        <f t="shared" si="3"/>
        <v/>
      </c>
      <c r="E15" s="117" t="str">
        <f t="shared" si="3"/>
        <v/>
      </c>
      <c r="F15" s="117" t="str">
        <f t="shared" si="3"/>
        <v/>
      </c>
      <c r="G15" s="117" t="str">
        <f t="shared" si="3"/>
        <v/>
      </c>
      <c r="H15" s="117" t="str">
        <f t="shared" si="3"/>
        <v/>
      </c>
      <c r="I15" s="117" t="str">
        <f t="shared" si="3"/>
        <v/>
      </c>
      <c r="J15" s="117" t="str">
        <f t="shared" si="3"/>
        <v/>
      </c>
      <c r="K15" s="117" t="str">
        <f t="shared" si="3"/>
        <v/>
      </c>
      <c r="L15" s="117" t="str">
        <f t="shared" si="3"/>
        <v/>
      </c>
      <c r="M15" s="117" t="str">
        <f t="shared" si="3"/>
        <v/>
      </c>
      <c r="N15" s="117" t="str">
        <f t="shared" si="3"/>
        <v/>
      </c>
    </row>
    <row r="16" spans="1:19" x14ac:dyDescent="0.2">
      <c r="A16" s="47" t="str">
        <f>IF(Line3Name="","",Line3Name)</f>
        <v>Product #3</v>
      </c>
      <c r="B16" s="14"/>
      <c r="C16" s="14"/>
      <c r="D16" s="14"/>
      <c r="E16" s="14"/>
      <c r="F16" s="15" t="str">
        <f>IF(B16&lt;&gt;0,(ABS((C16-B16)/B16)),"")</f>
        <v/>
      </c>
      <c r="G16" s="15" t="str">
        <f>IF(C16&lt;&gt;0,(ABS((D16-C16)/C16)),"")</f>
        <v/>
      </c>
      <c r="H16" s="15" t="str">
        <f>IF($E$5="","",IF(D16&lt;&gt;0,(ABS((E16-D16)/D16)),""))</f>
        <v/>
      </c>
      <c r="I16" s="48"/>
      <c r="J16" s="48"/>
      <c r="K16" s="48"/>
      <c r="L16" s="48"/>
      <c r="M16" s="48"/>
      <c r="N16" s="48"/>
    </row>
    <row r="17" spans="1:14" x14ac:dyDescent="0.2">
      <c r="A17" s="7" t="s">
        <v>74</v>
      </c>
      <c r="B17" s="16">
        <f>JanLine3Units*JanLine3Price*(1-ReturnRate)</f>
        <v>0</v>
      </c>
      <c r="C17" s="16">
        <f>FebLine3Units*FebLine3Price*(1-ReturnRate)</f>
        <v>0</v>
      </c>
      <c r="D17" s="16">
        <f>MarLine3Units*MarLine3Price*(1-ReturnRate)</f>
        <v>0</v>
      </c>
      <c r="E17" s="16">
        <f>AprLine3Units*AprLine3Price*(1-ReturnRate)</f>
        <v>0</v>
      </c>
      <c r="F17" s="16">
        <f>MayLine3Units*MayLine3Price*(1-ReturnRate)</f>
        <v>0</v>
      </c>
      <c r="G17" s="16">
        <f>JunLine3Units*JunLine3Price*(1-ReturnRate)</f>
        <v>0</v>
      </c>
      <c r="H17" s="16">
        <f>JulLine3Units*JulLine3Price*(1-ReturnRate)</f>
        <v>0</v>
      </c>
      <c r="I17" s="16">
        <f>AugLine3Units*AugLine3Price*(1-ReturnRate)</f>
        <v>0</v>
      </c>
      <c r="J17" s="16">
        <f>SepLine3Units*SepLine3Price*(1-ReturnRate)</f>
        <v>0</v>
      </c>
      <c r="K17" s="16">
        <f>OctLine3Units*OctLine3Price*(1-ReturnRate)</f>
        <v>0</v>
      </c>
      <c r="L17" s="16">
        <f>NovLine3Units*NovLine3Price*(1-ReturnRate)</f>
        <v>0</v>
      </c>
      <c r="M17" s="16">
        <f>DecLine3Units*DecLine3Price*(1-ReturnRate)</f>
        <v>0</v>
      </c>
      <c r="N17" s="9">
        <f>SUM(B17:M17)</f>
        <v>0</v>
      </c>
    </row>
    <row r="18" spans="1:14" x14ac:dyDescent="0.2">
      <c r="A18" s="7" t="s">
        <v>76</v>
      </c>
      <c r="B18" s="26">
        <f>(JanLine3Labor*1.15+JanLine3Mat+JanLine3Freight)*JanLine3Units</f>
        <v>0</v>
      </c>
      <c r="C18" s="26">
        <f>(FebLine3Labor*1.15+FebLine3Mat+FebLine3Freight)*FebLine3Units</f>
        <v>0</v>
      </c>
      <c r="D18" s="26">
        <f>(MarLine3Labor*1.15+MarLine3Mat+MarLine3Freight)*MarLine3Units</f>
        <v>0</v>
      </c>
      <c r="E18" s="26">
        <f>(AprLine3Labor*1.15+AprLine3Mat+AprLine3Freight)*AprLine3Units</f>
        <v>0</v>
      </c>
      <c r="F18" s="26">
        <f>(MayLine3Labor*1.15+MayLine3Mat+MayLine3Freight)*MayLine3Units</f>
        <v>0</v>
      </c>
      <c r="G18" s="26">
        <f>(JunLine3Labor*1.15+JunLine3Mat+JunLine3Freight)*JunLine3Units</f>
        <v>0</v>
      </c>
      <c r="H18" s="26">
        <f>(JulLine3Labor*1.15+JulLine3Mat+JulLine3Freight)*JulLine3Units</f>
        <v>0</v>
      </c>
      <c r="I18" s="26">
        <f>(AugLine3Labor*1.15+AugLine3Mat+AugLine3Freight)*AugLine3Units</f>
        <v>0</v>
      </c>
      <c r="J18" s="26">
        <f>(SepLine3Labor*1.15+SepLine3Mat+SepLine3Freight)*SepLine3Units</f>
        <v>0</v>
      </c>
      <c r="K18" s="26">
        <f>(OctLine3Labor*1.15+OctLine3Mat+OctLine3Freight)*OctLine3Units</f>
        <v>0</v>
      </c>
      <c r="L18" s="26">
        <f>(NovLine3Labor*1.15+NovLine3Mat+NovLine3Freight)*NovLine3Units</f>
        <v>0</v>
      </c>
      <c r="M18" s="26">
        <f>(DecLine3Labor*1.15+DecLine3Mat+DecLine3Freight)*DecLine3Units</f>
        <v>0</v>
      </c>
      <c r="N18" s="9">
        <f>SUM(B18:M18)</f>
        <v>0</v>
      </c>
    </row>
    <row r="19" spans="1:14" x14ac:dyDescent="0.2">
      <c r="A19" s="49" t="s">
        <v>77</v>
      </c>
      <c r="B19" s="50">
        <f>B17-B18</f>
        <v>0</v>
      </c>
      <c r="C19" s="50">
        <f t="shared" ref="C19:M19" si="4">C17-C18</f>
        <v>0</v>
      </c>
      <c r="D19" s="50">
        <f t="shared" si="4"/>
        <v>0</v>
      </c>
      <c r="E19" s="50">
        <f t="shared" si="4"/>
        <v>0</v>
      </c>
      <c r="F19" s="50">
        <f t="shared" si="4"/>
        <v>0</v>
      </c>
      <c r="G19" s="50">
        <f t="shared" si="4"/>
        <v>0</v>
      </c>
      <c r="H19" s="50">
        <f t="shared" si="4"/>
        <v>0</v>
      </c>
      <c r="I19" s="50">
        <f t="shared" si="4"/>
        <v>0</v>
      </c>
      <c r="J19" s="50">
        <f t="shared" si="4"/>
        <v>0</v>
      </c>
      <c r="K19" s="50">
        <f t="shared" si="4"/>
        <v>0</v>
      </c>
      <c r="L19" s="50">
        <f t="shared" si="4"/>
        <v>0</v>
      </c>
      <c r="M19" s="50">
        <f t="shared" si="4"/>
        <v>0</v>
      </c>
      <c r="N19" s="9">
        <f>SUM(B19:M19)</f>
        <v>0</v>
      </c>
    </row>
    <row r="20" spans="1:14" ht="13.5" thickBot="1" x14ac:dyDescent="0.25">
      <c r="A20" s="116" t="s">
        <v>250</v>
      </c>
      <c r="B20" s="117" t="str">
        <f t="shared" ref="B20:N20" si="5">IF(B17=0,"",(B17-B19)/B17)</f>
        <v/>
      </c>
      <c r="C20" s="117" t="str">
        <f t="shared" si="5"/>
        <v/>
      </c>
      <c r="D20" s="117" t="str">
        <f t="shared" si="5"/>
        <v/>
      </c>
      <c r="E20" s="117" t="str">
        <f t="shared" si="5"/>
        <v/>
      </c>
      <c r="F20" s="117" t="str">
        <f t="shared" si="5"/>
        <v/>
      </c>
      <c r="G20" s="117" t="str">
        <f t="shared" si="5"/>
        <v/>
      </c>
      <c r="H20" s="117" t="str">
        <f t="shared" si="5"/>
        <v/>
      </c>
      <c r="I20" s="117" t="str">
        <f t="shared" si="5"/>
        <v/>
      </c>
      <c r="J20" s="117" t="str">
        <f t="shared" si="5"/>
        <v/>
      </c>
      <c r="K20" s="117" t="str">
        <f t="shared" si="5"/>
        <v/>
      </c>
      <c r="L20" s="117" t="str">
        <f t="shared" si="5"/>
        <v/>
      </c>
      <c r="M20" s="117" t="str">
        <f t="shared" si="5"/>
        <v/>
      </c>
      <c r="N20" s="117" t="str">
        <f t="shared" si="5"/>
        <v/>
      </c>
    </row>
    <row r="21" spans="1:14" x14ac:dyDescent="0.2">
      <c r="A21" s="47" t="str">
        <f>IF(Line4Name="","",Line4Name)</f>
        <v>Product #4</v>
      </c>
      <c r="B21" s="14"/>
      <c r="C21" s="14"/>
      <c r="D21" s="14"/>
      <c r="E21" s="14"/>
      <c r="F21" s="15" t="str">
        <f>IF(B21&lt;&gt;0,(ABS((C21-B21)/B21)),"")</f>
        <v/>
      </c>
      <c r="G21" s="15" t="str">
        <f>IF(C21&lt;&gt;0,(ABS((D21-C21)/C21)),"")</f>
        <v/>
      </c>
      <c r="H21" s="15" t="str">
        <f>IF($E$5="","",IF(D21&lt;&gt;0,(ABS((E21-D21)/D21)),""))</f>
        <v/>
      </c>
      <c r="I21" s="48"/>
      <c r="J21" s="48"/>
      <c r="K21" s="48"/>
      <c r="L21" s="48"/>
      <c r="M21" s="48"/>
      <c r="N21" s="48"/>
    </row>
    <row r="22" spans="1:14" x14ac:dyDescent="0.2">
      <c r="A22" s="7" t="s">
        <v>74</v>
      </c>
      <c r="B22" s="16">
        <f>JanLine4Units*JanLine4Price*(1-ReturnRate)</f>
        <v>0</v>
      </c>
      <c r="C22" s="16">
        <f>FebLine4Units*FebLine4Price*(1-ReturnRate)</f>
        <v>0</v>
      </c>
      <c r="D22" s="16">
        <f>MarLine4Units*MarLine4Price*(1-ReturnRate)</f>
        <v>0</v>
      </c>
      <c r="E22" s="16">
        <f>AprLine4Units*AprLine4Price*(1-ReturnRate)</f>
        <v>0</v>
      </c>
      <c r="F22" s="16">
        <f>MayLine4Units*MayLine4Price*(1-ReturnRate)</f>
        <v>0</v>
      </c>
      <c r="G22" s="16">
        <f>JunLine4Units*JunLine4Price*(1-ReturnRate)</f>
        <v>0</v>
      </c>
      <c r="H22" s="16">
        <f>JulLine4Units*JulLine4Price*(1-ReturnRate)</f>
        <v>0</v>
      </c>
      <c r="I22" s="16">
        <f>AugLine4Units*AugLine4Price*(1-ReturnRate)</f>
        <v>0</v>
      </c>
      <c r="J22" s="16">
        <f>SepLine4Units*SepLine4Price*(1-ReturnRate)</f>
        <v>0</v>
      </c>
      <c r="K22" s="16">
        <f>OctLine4Units*OctLine4Price*(1-ReturnRate)</f>
        <v>0</v>
      </c>
      <c r="L22" s="16">
        <f>NovLine4Units*NovLine4Price*(1-ReturnRate)</f>
        <v>0</v>
      </c>
      <c r="M22" s="16">
        <f>DecLine4Units*DecLine4Price*(1-ReturnRate)</f>
        <v>0</v>
      </c>
      <c r="N22" s="9">
        <f>SUM(B22:M22)</f>
        <v>0</v>
      </c>
    </row>
    <row r="23" spans="1:14" x14ac:dyDescent="0.2">
      <c r="A23" s="7" t="s">
        <v>76</v>
      </c>
      <c r="B23" s="26">
        <f>(JanLine4Labor*1.15+JanLine4Mat+JanLine4Freight)*JanLine4Units</f>
        <v>0</v>
      </c>
      <c r="C23" s="26">
        <f>(FebLine4Labor*1.15+FebLine4Mat+FebLine4Freight)*FebLine4Units</f>
        <v>0</v>
      </c>
      <c r="D23" s="26">
        <f>(MarLine4Labor*1.15+MarLine4Mat+MarLine4Freight)*MarLine4Units</f>
        <v>0</v>
      </c>
      <c r="E23" s="26">
        <f>(AprLine4Labor*1.15+AprLine4Mat+AprLine4Freight)*AprLine4Units</f>
        <v>0</v>
      </c>
      <c r="F23" s="26">
        <f>(MayLine4Labor*1.15+MayLine4Mat+MayLine4Freight)*MayLine4Units</f>
        <v>0</v>
      </c>
      <c r="G23" s="26">
        <f>(JunLine4Labor*1.15+JunLine4Mat+JunLine4Freight)*JunLine4Units</f>
        <v>0</v>
      </c>
      <c r="H23" s="26">
        <f>(JulLine4Labor*1.15+JulLine4Mat+JulLine4Freight)*JulLine4Units</f>
        <v>0</v>
      </c>
      <c r="I23" s="26">
        <f>(AugLine4Labor*1.15+AugLine4Mat+AugLine4Freight)*AugLine4Units</f>
        <v>0</v>
      </c>
      <c r="J23" s="26">
        <f>(SepLine4Labor*1.15+SepLine4Mat+SepLine4Freight)*SepLine4Units</f>
        <v>0</v>
      </c>
      <c r="K23" s="26">
        <f>(OctLine4Labor*1.15+OctLine4Mat+OctLine4Freight)*OctLine4Units</f>
        <v>0</v>
      </c>
      <c r="L23" s="26">
        <f>(NovLine4Labor*1.15+NovLine4Mat+NovLine4Freight)*NovLine4Units</f>
        <v>0</v>
      </c>
      <c r="M23" s="26">
        <f>(DecLine4Labor*1.15+DecLine4Mat+DecLine4Freight)*DecLine4Units</f>
        <v>0</v>
      </c>
      <c r="N23" s="9">
        <f>SUM(B23:M23)</f>
        <v>0</v>
      </c>
    </row>
    <row r="24" spans="1:14" x14ac:dyDescent="0.2">
      <c r="A24" s="49" t="s">
        <v>77</v>
      </c>
      <c r="B24" s="50">
        <f>B22-B23</f>
        <v>0</v>
      </c>
      <c r="C24" s="50">
        <f t="shared" ref="C24:M24" si="6">C22-C23</f>
        <v>0</v>
      </c>
      <c r="D24" s="50">
        <f t="shared" si="6"/>
        <v>0</v>
      </c>
      <c r="E24" s="50">
        <f t="shared" si="6"/>
        <v>0</v>
      </c>
      <c r="F24" s="50">
        <f t="shared" si="6"/>
        <v>0</v>
      </c>
      <c r="G24" s="50">
        <f t="shared" si="6"/>
        <v>0</v>
      </c>
      <c r="H24" s="50">
        <f t="shared" si="6"/>
        <v>0</v>
      </c>
      <c r="I24" s="50">
        <f t="shared" si="6"/>
        <v>0</v>
      </c>
      <c r="J24" s="50">
        <f t="shared" si="6"/>
        <v>0</v>
      </c>
      <c r="K24" s="50">
        <f t="shared" si="6"/>
        <v>0</v>
      </c>
      <c r="L24" s="50">
        <f t="shared" si="6"/>
        <v>0</v>
      </c>
      <c r="M24" s="50">
        <f t="shared" si="6"/>
        <v>0</v>
      </c>
      <c r="N24" s="9">
        <f>SUM(B24:M24)</f>
        <v>0</v>
      </c>
    </row>
    <row r="25" spans="1:14" ht="13.5" thickBot="1" x14ac:dyDescent="0.25">
      <c r="A25" s="116" t="s">
        <v>250</v>
      </c>
      <c r="B25" s="117" t="str">
        <f t="shared" ref="B25:N25" si="7">IF(B22=0,"",(B22-B24)/B22)</f>
        <v/>
      </c>
      <c r="C25" s="117" t="str">
        <f t="shared" si="7"/>
        <v/>
      </c>
      <c r="D25" s="117" t="str">
        <f t="shared" si="7"/>
        <v/>
      </c>
      <c r="E25" s="117" t="str">
        <f t="shared" si="7"/>
        <v/>
      </c>
      <c r="F25" s="117" t="str">
        <f t="shared" si="7"/>
        <v/>
      </c>
      <c r="G25" s="117" t="str">
        <f t="shared" si="7"/>
        <v/>
      </c>
      <c r="H25" s="117" t="str">
        <f t="shared" si="7"/>
        <v/>
      </c>
      <c r="I25" s="117" t="str">
        <f t="shared" si="7"/>
        <v/>
      </c>
      <c r="J25" s="117" t="str">
        <f t="shared" si="7"/>
        <v/>
      </c>
      <c r="K25" s="117" t="str">
        <f t="shared" si="7"/>
        <v/>
      </c>
      <c r="L25" s="117" t="str">
        <f t="shared" si="7"/>
        <v/>
      </c>
      <c r="M25" s="117" t="str">
        <f t="shared" si="7"/>
        <v/>
      </c>
      <c r="N25" s="117" t="str">
        <f t="shared" si="7"/>
        <v/>
      </c>
    </row>
    <row r="26" spans="1:14" x14ac:dyDescent="0.2">
      <c r="A26" s="47" t="str">
        <f>IF(Line5Name="","",Line5Name)</f>
        <v>Product #5</v>
      </c>
      <c r="B26" s="14"/>
      <c r="C26" s="14"/>
      <c r="D26" s="14"/>
      <c r="E26" s="14"/>
      <c r="F26" s="15" t="str">
        <f>IF(B26&lt;&gt;0,(ABS((C26-B26)/B26)),"")</f>
        <v/>
      </c>
      <c r="G26" s="15" t="str">
        <f>IF(C26&lt;&gt;0,(ABS((D26-C26)/C26)),"")</f>
        <v/>
      </c>
      <c r="H26" s="15" t="str">
        <f>IF($E$5="","",IF(D26&lt;&gt;0,(ABS((E26-D26)/D26)),""))</f>
        <v/>
      </c>
      <c r="I26" s="48"/>
      <c r="J26" s="48"/>
      <c r="K26" s="48"/>
      <c r="L26" s="48"/>
      <c r="M26" s="48"/>
      <c r="N26" s="48"/>
    </row>
    <row r="27" spans="1:14" x14ac:dyDescent="0.2">
      <c r="A27" s="7" t="s">
        <v>74</v>
      </c>
      <c r="B27" s="16">
        <f>JanLine5Units*JanLine5Price*(1-ReturnRate)</f>
        <v>0</v>
      </c>
      <c r="C27" s="16">
        <f>FebLine5Units*FebLine5Price*(1-ReturnRate)</f>
        <v>0</v>
      </c>
      <c r="D27" s="16">
        <f>MarLine5Units*MarLine5Price*(1-ReturnRate)</f>
        <v>0</v>
      </c>
      <c r="E27" s="16">
        <f>AprLine5Units*AprLine5Price*(1-ReturnRate)</f>
        <v>0</v>
      </c>
      <c r="F27" s="16">
        <f>MayLine5Units*MayLine5Price*(1-ReturnRate)</f>
        <v>0</v>
      </c>
      <c r="G27" s="16">
        <f>JunLine5Units*JunLine5Price*(1-ReturnRate)</f>
        <v>0</v>
      </c>
      <c r="H27" s="16">
        <f>JulLine5Units*JulLine5Price*(1-ReturnRate)</f>
        <v>0</v>
      </c>
      <c r="I27" s="16">
        <f>AugLine5Units*AugLine5Price*(1-ReturnRate)</f>
        <v>0</v>
      </c>
      <c r="J27" s="16">
        <f>SepLine5Units*SepLine5Price*(1-ReturnRate)</f>
        <v>0</v>
      </c>
      <c r="K27" s="16">
        <f>OctLine5Units*OctLine5Price*(1-ReturnRate)</f>
        <v>0</v>
      </c>
      <c r="L27" s="16">
        <f>NovLine5Units*NovLine5Price*(1-ReturnRate)</f>
        <v>0</v>
      </c>
      <c r="M27" s="16">
        <f>DecLine5Units*DecLine5Price*(1-ReturnRate)</f>
        <v>0</v>
      </c>
      <c r="N27" s="9">
        <f>SUM(B27:M27)</f>
        <v>0</v>
      </c>
    </row>
    <row r="28" spans="1:14" x14ac:dyDescent="0.2">
      <c r="A28" s="7" t="s">
        <v>76</v>
      </c>
      <c r="B28" s="26">
        <f>(JanLine5Labor*1.15+JanLine5Mat+JanLine5Freight)*JanLine5Units</f>
        <v>0</v>
      </c>
      <c r="C28" s="26">
        <f>(FebLine5Labor*1.15+FebLine5Mat+FebLine5Freight)*FebLine5Units</f>
        <v>0</v>
      </c>
      <c r="D28" s="26">
        <f>(MarLine5Labor*1.15+MarLine5Mat+MarLine5Freight)*MarLine5Units</f>
        <v>0</v>
      </c>
      <c r="E28" s="26">
        <f>(AprLine5Labor*1.15+AprLine5Mat+AprLine5Freight)*AprLine5Units</f>
        <v>0</v>
      </c>
      <c r="F28" s="26">
        <f>(MayLine5Labor*1.15+MayLine5Mat+MayLine5Freight)*MayLine5Units</f>
        <v>0</v>
      </c>
      <c r="G28" s="26">
        <f>(JunLine5Labor*1.15+JunLine5Mat+JunLine5Freight)*JunLine5Units</f>
        <v>0</v>
      </c>
      <c r="H28" s="26">
        <f>(JulLine5Labor*1.15+JulLine5Mat+JulLine5Freight)*JulLine5Units</f>
        <v>0</v>
      </c>
      <c r="I28" s="26">
        <f>(AugLine5Labor*1.15+AugLine5Mat+AugLine5Freight)*AugLine5Units</f>
        <v>0</v>
      </c>
      <c r="J28" s="26">
        <f>(SepLine5Labor*1.15+SepLine5Mat+SepLine5Freight)*SepLine5Units</f>
        <v>0</v>
      </c>
      <c r="K28" s="26">
        <f>(OctLine5Labor*1.15+OctLine5Mat+OctLine5Freight)*OctLine5Units</f>
        <v>0</v>
      </c>
      <c r="L28" s="26">
        <f>(NovLine5Labor*1.15+NovLine5Mat+NovLine5Freight)*NovLine5Units</f>
        <v>0</v>
      </c>
      <c r="M28" s="26">
        <f>(DecLine5Labor*1.15+DecLine5Mat+DecLine5Freight)*DecLine5Units</f>
        <v>0</v>
      </c>
      <c r="N28" s="9">
        <f>SUM(B28:M28)</f>
        <v>0</v>
      </c>
    </row>
    <row r="29" spans="1:14" x14ac:dyDescent="0.2">
      <c r="A29" s="7" t="s">
        <v>77</v>
      </c>
      <c r="B29" s="16">
        <f>B27-B28</f>
        <v>0</v>
      </c>
      <c r="C29" s="16">
        <f t="shared" ref="C29:N29" si="8">C27-C28</f>
        <v>0</v>
      </c>
      <c r="D29" s="16">
        <f t="shared" si="8"/>
        <v>0</v>
      </c>
      <c r="E29" s="16">
        <f t="shared" si="8"/>
        <v>0</v>
      </c>
      <c r="F29" s="16">
        <f t="shared" si="8"/>
        <v>0</v>
      </c>
      <c r="G29" s="16">
        <f t="shared" si="8"/>
        <v>0</v>
      </c>
      <c r="H29" s="16">
        <f t="shared" si="8"/>
        <v>0</v>
      </c>
      <c r="I29" s="16">
        <f t="shared" si="8"/>
        <v>0</v>
      </c>
      <c r="J29" s="16">
        <f t="shared" si="8"/>
        <v>0</v>
      </c>
      <c r="K29" s="16">
        <f t="shared" si="8"/>
        <v>0</v>
      </c>
      <c r="L29" s="16">
        <f t="shared" si="8"/>
        <v>0</v>
      </c>
      <c r="M29" s="16">
        <f t="shared" si="8"/>
        <v>0</v>
      </c>
      <c r="N29" s="16">
        <f t="shared" si="8"/>
        <v>0</v>
      </c>
    </row>
    <row r="30" spans="1:14" x14ac:dyDescent="0.2">
      <c r="A30" s="116" t="s">
        <v>250</v>
      </c>
      <c r="B30" s="117" t="str">
        <f t="shared" ref="B30:N30" si="9">IF(B27=0,"",(B27-B29)/B27)</f>
        <v/>
      </c>
      <c r="C30" s="117" t="str">
        <f t="shared" si="9"/>
        <v/>
      </c>
      <c r="D30" s="117" t="str">
        <f t="shared" si="9"/>
        <v/>
      </c>
      <c r="E30" s="117" t="str">
        <f t="shared" si="9"/>
        <v/>
      </c>
      <c r="F30" s="117" t="str">
        <f t="shared" si="9"/>
        <v/>
      </c>
      <c r="G30" s="117" t="str">
        <f t="shared" si="9"/>
        <v/>
      </c>
      <c r="H30" s="117" t="str">
        <f t="shared" si="9"/>
        <v/>
      </c>
      <c r="I30" s="117" t="str">
        <f t="shared" si="9"/>
        <v/>
      </c>
      <c r="J30" s="117" t="str">
        <f t="shared" si="9"/>
        <v/>
      </c>
      <c r="K30" s="117" t="str">
        <f t="shared" si="9"/>
        <v/>
      </c>
      <c r="L30" s="117" t="str">
        <f t="shared" si="9"/>
        <v/>
      </c>
      <c r="M30" s="117" t="str">
        <f t="shared" si="9"/>
        <v/>
      </c>
      <c r="N30" s="117" t="str">
        <f t="shared" si="9"/>
        <v/>
      </c>
    </row>
    <row r="31" spans="1:14" ht="13.5" thickBot="1" x14ac:dyDescent="0.25">
      <c r="A31" s="49"/>
      <c r="B31" s="50"/>
      <c r="C31" s="50"/>
      <c r="D31" s="50"/>
      <c r="E31" s="50"/>
      <c r="F31" s="51" t="str">
        <f>IF(B31&lt;&gt;0,(ABS((C31-B31)/B31)),"")</f>
        <v/>
      </c>
      <c r="G31" s="51" t="str">
        <f>IF(C31&lt;&gt;0,(ABS((D31-C31)/C31)),"")</f>
        <v/>
      </c>
      <c r="H31" s="51" t="str">
        <f>IF($E$5="","",IF(D31&lt;&gt;0,(ABS((E31-D31)/D31)),""))</f>
        <v/>
      </c>
      <c r="I31" s="49"/>
      <c r="J31" s="49"/>
      <c r="K31" s="49"/>
      <c r="L31" s="49"/>
      <c r="M31" s="49"/>
      <c r="N31" s="49"/>
    </row>
    <row r="32" spans="1:14" x14ac:dyDescent="0.2">
      <c r="A32" s="48" t="s">
        <v>79</v>
      </c>
      <c r="B32" s="14">
        <f>JanNet</f>
        <v>0</v>
      </c>
      <c r="C32" s="14">
        <f>FebNet</f>
        <v>0</v>
      </c>
      <c r="D32" s="14">
        <f>MarNet</f>
        <v>0</v>
      </c>
      <c r="E32" s="14">
        <f>AprNet</f>
        <v>0</v>
      </c>
      <c r="F32" s="14">
        <f>MayNet</f>
        <v>0</v>
      </c>
      <c r="G32" s="14">
        <f>JunNet</f>
        <v>0</v>
      </c>
      <c r="H32" s="14">
        <f>JulNet</f>
        <v>0</v>
      </c>
      <c r="I32" s="14">
        <f>AugNet</f>
        <v>0</v>
      </c>
      <c r="J32" s="14">
        <f>SepNet</f>
        <v>0</v>
      </c>
      <c r="K32" s="14">
        <f>OctNet</f>
        <v>0</v>
      </c>
      <c r="L32" s="14">
        <f>NovNet</f>
        <v>0</v>
      </c>
      <c r="M32" s="14">
        <f>DecNet</f>
        <v>0</v>
      </c>
      <c r="N32" s="54">
        <f>SUM(B32:M32)</f>
        <v>0</v>
      </c>
    </row>
    <row r="33" spans="1:19" x14ac:dyDescent="0.2">
      <c r="A33" s="7" t="s">
        <v>80</v>
      </c>
      <c r="B33" s="16">
        <f>JanCOGS</f>
        <v>0</v>
      </c>
      <c r="C33" s="16">
        <f>FebCOGS</f>
        <v>0</v>
      </c>
      <c r="D33" s="16">
        <f>MarCOGS</f>
        <v>0</v>
      </c>
      <c r="E33" s="16">
        <f>AprCOGS</f>
        <v>0</v>
      </c>
      <c r="F33" s="16">
        <f>MayCOGS</f>
        <v>0</v>
      </c>
      <c r="G33" s="16">
        <f>JunCOGS</f>
        <v>0</v>
      </c>
      <c r="H33" s="16">
        <f>JulCOGS</f>
        <v>0</v>
      </c>
      <c r="I33" s="16">
        <f>AugCOGS</f>
        <v>0</v>
      </c>
      <c r="J33" s="16">
        <f>SepCOGS</f>
        <v>0</v>
      </c>
      <c r="K33" s="16">
        <f>OctCOGS</f>
        <v>0</v>
      </c>
      <c r="L33" s="16">
        <f>NovCOGS</f>
        <v>0</v>
      </c>
      <c r="M33" s="16">
        <f>DecCOGS</f>
        <v>0</v>
      </c>
      <c r="N33" s="9">
        <f>SUM(B33:M33)</f>
        <v>0</v>
      </c>
    </row>
    <row r="34" spans="1:19" x14ac:dyDescent="0.2">
      <c r="A34" s="7" t="s">
        <v>25</v>
      </c>
      <c r="B34" s="16">
        <f>B32-B33</f>
        <v>0</v>
      </c>
      <c r="C34" s="16">
        <f t="shared" ref="C34:M34" si="10">C32-C33</f>
        <v>0</v>
      </c>
      <c r="D34" s="16">
        <f t="shared" si="10"/>
        <v>0</v>
      </c>
      <c r="E34" s="16">
        <f t="shared" si="10"/>
        <v>0</v>
      </c>
      <c r="F34" s="16">
        <f t="shared" si="10"/>
        <v>0</v>
      </c>
      <c r="G34" s="16">
        <f t="shared" si="10"/>
        <v>0</v>
      </c>
      <c r="H34" s="16">
        <f t="shared" si="10"/>
        <v>0</v>
      </c>
      <c r="I34" s="16">
        <f t="shared" si="10"/>
        <v>0</v>
      </c>
      <c r="J34" s="16">
        <f t="shared" si="10"/>
        <v>0</v>
      </c>
      <c r="K34" s="16">
        <f t="shared" si="10"/>
        <v>0</v>
      </c>
      <c r="L34" s="16">
        <f t="shared" si="10"/>
        <v>0</v>
      </c>
      <c r="M34" s="16">
        <f t="shared" si="10"/>
        <v>0</v>
      </c>
      <c r="N34" s="9">
        <f>SUM(B34:M34)</f>
        <v>0</v>
      </c>
    </row>
    <row r="35" spans="1:19" x14ac:dyDescent="0.2">
      <c r="A35" s="7" t="s">
        <v>185</v>
      </c>
      <c r="B35" s="16">
        <f>JanDepr</f>
        <v>0</v>
      </c>
      <c r="C35" s="16">
        <f>FebDepr</f>
        <v>0</v>
      </c>
      <c r="D35" s="16">
        <f>MarDepr</f>
        <v>0</v>
      </c>
      <c r="E35" s="16">
        <f>AprDepr</f>
        <v>0</v>
      </c>
      <c r="F35" s="16">
        <f>MayDepr</f>
        <v>0</v>
      </c>
      <c r="G35" s="16">
        <f>JunDepr</f>
        <v>0</v>
      </c>
      <c r="H35" s="16">
        <f>JulDepr</f>
        <v>0</v>
      </c>
      <c r="I35" s="16">
        <f>AugDepr</f>
        <v>0</v>
      </c>
      <c r="J35" s="16">
        <f>SepDepr</f>
        <v>0</v>
      </c>
      <c r="K35" s="16">
        <f>OctDepr</f>
        <v>0</v>
      </c>
      <c r="L35" s="16">
        <f>NovDepr</f>
        <v>0</v>
      </c>
      <c r="M35" s="16">
        <f>DecDepr</f>
        <v>0</v>
      </c>
      <c r="N35" s="9">
        <f>SUM(B35:M35)</f>
        <v>0</v>
      </c>
    </row>
    <row r="36" spans="1:19" x14ac:dyDescent="0.2">
      <c r="A36" s="7" t="s">
        <v>26</v>
      </c>
      <c r="B36" s="16">
        <f>JanOE+JanOEPRTax+JanCommish</f>
        <v>0</v>
      </c>
      <c r="C36" s="16">
        <f>FebOE+FebOEPRTax+FebCommish</f>
        <v>0</v>
      </c>
      <c r="D36" s="16">
        <f>MarOE+MarOEPRTax+MarCommish</f>
        <v>0</v>
      </c>
      <c r="E36" s="16">
        <f>AprOE+AprOEPRTax+AprCommish</f>
        <v>0</v>
      </c>
      <c r="F36" s="16">
        <f>MayOE+MayOEPRTax+MayCommish</f>
        <v>0</v>
      </c>
      <c r="G36" s="16">
        <f>JunOE+JunOEPRTax+JunCommish</f>
        <v>0</v>
      </c>
      <c r="H36" s="16">
        <f>JulOE+JulOEPRTax+JulCommish</f>
        <v>0</v>
      </c>
      <c r="I36" s="16">
        <f>AugOE+AugOEPRTax+AugCommish</f>
        <v>0</v>
      </c>
      <c r="J36" s="16">
        <f>SepOE+SepOEPRTax+SepCommish</f>
        <v>0</v>
      </c>
      <c r="K36" s="16">
        <f>OctOE+OctOEPRTax+OctCommish</f>
        <v>0</v>
      </c>
      <c r="L36" s="16">
        <f>NovOE+NovOEPRTax+NovCommish</f>
        <v>0</v>
      </c>
      <c r="M36" s="16">
        <f>DecOE+DecOEPRTax+DecCommish</f>
        <v>0</v>
      </c>
      <c r="N36" s="9">
        <f>SUM(B36:M36)</f>
        <v>0</v>
      </c>
    </row>
    <row r="37" spans="1:19" x14ac:dyDescent="0.2">
      <c r="A37" s="7"/>
      <c r="B37" s="16"/>
      <c r="C37" s="16"/>
      <c r="D37" s="16"/>
      <c r="E37" s="16"/>
      <c r="F37" s="17" t="str">
        <f>IF(B37&lt;&gt;0,(ABS((C37-B37)/B37)),"")</f>
        <v/>
      </c>
      <c r="G37" s="17" t="str">
        <f>IF(C37&lt;&gt;0,(ABS((D37-C37)/C37)),"")</f>
        <v/>
      </c>
      <c r="H37" s="17" t="str">
        <f>IF($E$5="","",IF(D37&lt;&gt;0,(ABS((E37-D37)/D37)),""))</f>
        <v/>
      </c>
      <c r="I37" s="7"/>
      <c r="J37" s="7"/>
      <c r="K37" s="7"/>
      <c r="L37" s="7"/>
      <c r="M37" s="7"/>
      <c r="N37" s="7"/>
    </row>
    <row r="38" spans="1:19" x14ac:dyDescent="0.2">
      <c r="A38" s="7" t="s">
        <v>27</v>
      </c>
      <c r="B38" s="16">
        <f>B34-B35-B36</f>
        <v>0</v>
      </c>
      <c r="C38" s="16">
        <f t="shared" ref="C38:M38" si="11">C34-C35-C36</f>
        <v>0</v>
      </c>
      <c r="D38" s="16">
        <f t="shared" si="11"/>
        <v>0</v>
      </c>
      <c r="E38" s="16">
        <f t="shared" si="11"/>
        <v>0</v>
      </c>
      <c r="F38" s="16">
        <f t="shared" si="11"/>
        <v>0</v>
      </c>
      <c r="G38" s="16">
        <f t="shared" si="11"/>
        <v>0</v>
      </c>
      <c r="H38" s="16">
        <f t="shared" si="11"/>
        <v>0</v>
      </c>
      <c r="I38" s="16">
        <f t="shared" si="11"/>
        <v>0</v>
      </c>
      <c r="J38" s="16">
        <f t="shared" si="11"/>
        <v>0</v>
      </c>
      <c r="K38" s="16">
        <f t="shared" si="11"/>
        <v>0</v>
      </c>
      <c r="L38" s="16">
        <f t="shared" si="11"/>
        <v>0</v>
      </c>
      <c r="M38" s="16">
        <f t="shared" si="11"/>
        <v>0</v>
      </c>
      <c r="N38" s="16">
        <f>N34-N36</f>
        <v>0</v>
      </c>
    </row>
    <row r="39" spans="1:19" x14ac:dyDescent="0.2">
      <c r="A39" s="7" t="s">
        <v>28</v>
      </c>
      <c r="B39" s="21">
        <f>JanInt</f>
        <v>0</v>
      </c>
      <c r="C39" s="21">
        <f>FebInt</f>
        <v>0</v>
      </c>
      <c r="D39" s="21">
        <f>MarInt</f>
        <v>0</v>
      </c>
      <c r="E39" s="21">
        <f>AprInt</f>
        <v>0</v>
      </c>
      <c r="F39" s="21">
        <f>MayInt</f>
        <v>0</v>
      </c>
      <c r="G39" s="21">
        <f>JunInt</f>
        <v>0</v>
      </c>
      <c r="H39" s="21">
        <f>JulInt</f>
        <v>0</v>
      </c>
      <c r="I39" s="73">
        <f>AugInt</f>
        <v>0</v>
      </c>
      <c r="J39" s="73">
        <f>SepInt</f>
        <v>0</v>
      </c>
      <c r="K39" s="73">
        <f>OctInt</f>
        <v>0</v>
      </c>
      <c r="L39" s="73">
        <f>NovInt</f>
        <v>0</v>
      </c>
      <c r="M39" s="73">
        <f>DecInt</f>
        <v>0</v>
      </c>
      <c r="N39" s="74">
        <f>SUM(B39:M39)</f>
        <v>0</v>
      </c>
    </row>
    <row r="40" spans="1:19" x14ac:dyDescent="0.2">
      <c r="A40" s="7" t="s">
        <v>30</v>
      </c>
      <c r="B40" s="16">
        <f>B38-B39</f>
        <v>0</v>
      </c>
      <c r="C40" s="16">
        <f t="shared" ref="C40:N40" si="12">C38-C39</f>
        <v>0</v>
      </c>
      <c r="D40" s="16">
        <f t="shared" si="12"/>
        <v>0</v>
      </c>
      <c r="E40" s="16">
        <f t="shared" si="12"/>
        <v>0</v>
      </c>
      <c r="F40" s="16">
        <f t="shared" si="12"/>
        <v>0</v>
      </c>
      <c r="G40" s="16">
        <f t="shared" si="12"/>
        <v>0</v>
      </c>
      <c r="H40" s="16">
        <f t="shared" si="12"/>
        <v>0</v>
      </c>
      <c r="I40" s="16">
        <f t="shared" si="12"/>
        <v>0</v>
      </c>
      <c r="J40" s="16">
        <f t="shared" si="12"/>
        <v>0</v>
      </c>
      <c r="K40" s="16">
        <f t="shared" si="12"/>
        <v>0</v>
      </c>
      <c r="L40" s="16">
        <f t="shared" si="12"/>
        <v>0</v>
      </c>
      <c r="M40" s="16">
        <f t="shared" si="12"/>
        <v>0</v>
      </c>
      <c r="N40" s="16">
        <f t="shared" si="12"/>
        <v>0</v>
      </c>
    </row>
    <row r="41" spans="1:19" x14ac:dyDescent="0.2">
      <c r="A41" s="7" t="s">
        <v>29</v>
      </c>
      <c r="B41" s="44">
        <f>IF(B40&lt;=0,0,B40*TaxRate)</f>
        <v>0</v>
      </c>
      <c r="C41" s="44">
        <f t="shared" ref="C41:M41" si="13">IF(C40&lt;=0,0,C40*TaxRate)</f>
        <v>0</v>
      </c>
      <c r="D41" s="44">
        <f t="shared" si="13"/>
        <v>0</v>
      </c>
      <c r="E41" s="44">
        <f t="shared" si="13"/>
        <v>0</v>
      </c>
      <c r="F41" s="44">
        <f t="shared" si="13"/>
        <v>0</v>
      </c>
      <c r="G41" s="44">
        <f t="shared" si="13"/>
        <v>0</v>
      </c>
      <c r="H41" s="44">
        <f t="shared" si="13"/>
        <v>0</v>
      </c>
      <c r="I41" s="44">
        <f t="shared" si="13"/>
        <v>0</v>
      </c>
      <c r="J41" s="44">
        <f t="shared" si="13"/>
        <v>0</v>
      </c>
      <c r="K41" s="44">
        <f t="shared" si="13"/>
        <v>0</v>
      </c>
      <c r="L41" s="44">
        <f t="shared" si="13"/>
        <v>0</v>
      </c>
      <c r="M41" s="44">
        <f t="shared" si="13"/>
        <v>0</v>
      </c>
      <c r="N41" s="9">
        <f>SUM(B41:M41)</f>
        <v>0</v>
      </c>
    </row>
    <row r="42" spans="1:19" x14ac:dyDescent="0.2">
      <c r="A42" s="7"/>
      <c r="B42" s="16"/>
      <c r="C42" s="16"/>
      <c r="D42" s="16"/>
      <c r="E42" s="16"/>
      <c r="F42" s="17" t="str">
        <f>IF(B42&lt;&gt;0,(ABS((C42-B42)/B42)),"")</f>
        <v/>
      </c>
      <c r="G42" s="17" t="str">
        <f>IF(C42&lt;&gt;0,(ABS((D42-C42)/C42)),"")</f>
        <v/>
      </c>
      <c r="H42" s="17" t="str">
        <f>IF($E$5="","",IF(D42&lt;&gt;0,(ABS((E42-D42)/D42)),""))</f>
        <v/>
      </c>
      <c r="I42" s="7"/>
      <c r="J42" s="7"/>
      <c r="K42" s="7"/>
      <c r="L42" s="7"/>
      <c r="M42" s="7"/>
      <c r="N42" s="7"/>
    </row>
    <row r="43" spans="1:19" x14ac:dyDescent="0.2">
      <c r="A43" s="7" t="s">
        <v>59</v>
      </c>
      <c r="B43" s="16">
        <f>B40-B41</f>
        <v>0</v>
      </c>
      <c r="C43" s="16">
        <f t="shared" ref="C43:N43" si="14">C40-C41</f>
        <v>0</v>
      </c>
      <c r="D43" s="16">
        <f t="shared" si="14"/>
        <v>0</v>
      </c>
      <c r="E43" s="16">
        <f t="shared" si="14"/>
        <v>0</v>
      </c>
      <c r="F43" s="16">
        <f t="shared" si="14"/>
        <v>0</v>
      </c>
      <c r="G43" s="16">
        <f t="shared" si="14"/>
        <v>0</v>
      </c>
      <c r="H43" s="16">
        <f t="shared" si="14"/>
        <v>0</v>
      </c>
      <c r="I43" s="16">
        <f t="shared" si="14"/>
        <v>0</v>
      </c>
      <c r="J43" s="16">
        <f t="shared" si="14"/>
        <v>0</v>
      </c>
      <c r="K43" s="16">
        <f t="shared" si="14"/>
        <v>0</v>
      </c>
      <c r="L43" s="16">
        <f t="shared" si="14"/>
        <v>0</v>
      </c>
      <c r="M43" s="16">
        <f t="shared" si="14"/>
        <v>0</v>
      </c>
      <c r="N43" s="16">
        <f t="shared" si="14"/>
        <v>0</v>
      </c>
    </row>
    <row r="46" spans="1:19" ht="18" x14ac:dyDescent="0.25">
      <c r="A46" s="205" t="s">
        <v>31</v>
      </c>
      <c r="B46" s="206"/>
      <c r="C46" s="206"/>
      <c r="D46" s="206"/>
      <c r="E46" s="206"/>
      <c r="F46" s="207"/>
      <c r="G46" s="207"/>
      <c r="H46" s="207"/>
      <c r="I46" s="207"/>
      <c r="J46" s="207"/>
      <c r="K46" s="207"/>
      <c r="L46" s="207"/>
      <c r="M46" s="207"/>
      <c r="N46" s="208"/>
    </row>
    <row r="47" spans="1:19" s="19" customFormat="1" x14ac:dyDescent="0.2">
      <c r="A47" s="18"/>
      <c r="B47" s="18" t="str">
        <f>B5</f>
        <v>Jul</v>
      </c>
      <c r="C47" s="18" t="str">
        <f>C5</f>
        <v>Aug</v>
      </c>
      <c r="D47" s="18" t="str">
        <f>D5</f>
        <v>Sep</v>
      </c>
      <c r="E47" s="18" t="str">
        <f>E5</f>
        <v>Oct</v>
      </c>
      <c r="F47" s="18" t="str">
        <f t="shared" ref="F47:M47" si="15">F5</f>
        <v>Nov</v>
      </c>
      <c r="G47" s="18" t="str">
        <f t="shared" si="15"/>
        <v>Dec</v>
      </c>
      <c r="H47" s="18" t="str">
        <f t="shared" si="15"/>
        <v>Jan</v>
      </c>
      <c r="I47" s="18" t="str">
        <f t="shared" si="15"/>
        <v>Feb</v>
      </c>
      <c r="J47" s="18" t="str">
        <f t="shared" si="15"/>
        <v>Mar</v>
      </c>
      <c r="K47" s="18" t="str">
        <f t="shared" si="15"/>
        <v>Apr</v>
      </c>
      <c r="L47" s="18" t="str">
        <f t="shared" si="15"/>
        <v>May</v>
      </c>
      <c r="M47" s="18" t="str">
        <f t="shared" si="15"/>
        <v>Jun</v>
      </c>
      <c r="N47" s="18" t="s">
        <v>36</v>
      </c>
      <c r="O47" s="184"/>
      <c r="P47" s="184"/>
      <c r="Q47" s="184"/>
      <c r="R47" s="184"/>
      <c r="S47" s="184"/>
    </row>
    <row r="48" spans="1:19" x14ac:dyDescent="0.2">
      <c r="A48" s="7" t="s">
        <v>32</v>
      </c>
      <c r="B48" s="10">
        <v>1</v>
      </c>
      <c r="C48" s="10">
        <v>1</v>
      </c>
      <c r="D48" s="10">
        <v>1</v>
      </c>
      <c r="E48" s="10">
        <v>1</v>
      </c>
      <c r="F48" s="10">
        <v>1</v>
      </c>
      <c r="G48" s="10">
        <v>1</v>
      </c>
      <c r="H48" s="10">
        <v>1</v>
      </c>
      <c r="I48" s="10">
        <v>1</v>
      </c>
      <c r="J48" s="10">
        <v>1</v>
      </c>
      <c r="K48" s="10">
        <v>1</v>
      </c>
      <c r="L48" s="10">
        <v>1</v>
      </c>
      <c r="M48" s="10">
        <v>1</v>
      </c>
      <c r="N48" s="20">
        <v>1</v>
      </c>
    </row>
    <row r="49" spans="1:14" x14ac:dyDescent="0.2">
      <c r="A49" s="7" t="s">
        <v>33</v>
      </c>
      <c r="B49" s="10" t="str">
        <f>IF(B32&gt;0,B33/B32,"")</f>
        <v/>
      </c>
      <c r="C49" s="10" t="str">
        <f>IF(C32&gt;0,C33/C32,"")</f>
        <v/>
      </c>
      <c r="D49" s="10" t="str">
        <f>IF(D32&gt;0,D33/D32,"")</f>
        <v/>
      </c>
      <c r="E49" s="10" t="str">
        <f>IF(E32&gt;0,IF(E5&lt;&gt;"",E33/E32,""),"")</f>
        <v/>
      </c>
      <c r="F49" s="10" t="str">
        <f t="shared" ref="F49:M49" si="16">IF(F32&gt;0,IF(F5&lt;&gt;"",F33/F32,""),"")</f>
        <v/>
      </c>
      <c r="G49" s="10" t="str">
        <f t="shared" si="16"/>
        <v/>
      </c>
      <c r="H49" s="10" t="str">
        <f t="shared" si="16"/>
        <v/>
      </c>
      <c r="I49" s="10" t="str">
        <f t="shared" si="16"/>
        <v/>
      </c>
      <c r="J49" s="10" t="str">
        <f t="shared" si="16"/>
        <v/>
      </c>
      <c r="K49" s="10" t="str">
        <f t="shared" si="16"/>
        <v/>
      </c>
      <c r="L49" s="10" t="str">
        <f t="shared" si="16"/>
        <v/>
      </c>
      <c r="M49" s="10" t="str">
        <f t="shared" si="16"/>
        <v/>
      </c>
      <c r="N49" s="5">
        <v>0.44400000000000001</v>
      </c>
    </row>
    <row r="50" spans="1:14" x14ac:dyDescent="0.2">
      <c r="A50" s="7" t="s">
        <v>25</v>
      </c>
      <c r="B50" s="10" t="str">
        <f>IF(B32&gt;0,B34/B32,"")</f>
        <v/>
      </c>
      <c r="C50" s="10" t="str">
        <f>IF(C32&gt;0,C34/C32,"")</f>
        <v/>
      </c>
      <c r="D50" s="10" t="str">
        <f>IF(D32&gt;0,D34/D32,"")</f>
        <v/>
      </c>
      <c r="E50" s="10" t="str">
        <f>IF(E32&gt;0,IF(E5&lt;&gt;"",E34/E32,""),"")</f>
        <v/>
      </c>
      <c r="F50" s="10" t="str">
        <f t="shared" ref="F50:M50" si="17">IF(F32&gt;0,IF(F5&lt;&gt;"",F34/F32,""),"")</f>
        <v/>
      </c>
      <c r="G50" s="10" t="str">
        <f t="shared" si="17"/>
        <v/>
      </c>
      <c r="H50" s="10" t="str">
        <f t="shared" si="17"/>
        <v/>
      </c>
      <c r="I50" s="10" t="str">
        <f t="shared" si="17"/>
        <v/>
      </c>
      <c r="J50" s="10" t="str">
        <f t="shared" si="17"/>
        <v/>
      </c>
      <c r="K50" s="10" t="str">
        <f t="shared" si="17"/>
        <v/>
      </c>
      <c r="L50" s="10" t="str">
        <f t="shared" si="17"/>
        <v/>
      </c>
      <c r="M50" s="10" t="str">
        <f t="shared" si="17"/>
        <v/>
      </c>
      <c r="N50" s="5">
        <v>0.55600000000000005</v>
      </c>
    </row>
    <row r="51" spans="1:14" x14ac:dyDescent="0.2">
      <c r="A51" s="7" t="s">
        <v>26</v>
      </c>
      <c r="B51" s="10" t="str">
        <f>IF(B32&gt;0,B36/B32,"")</f>
        <v/>
      </c>
      <c r="C51" s="10" t="str">
        <f>IF(C32&gt;0,C36/C32,"")</f>
        <v/>
      </c>
      <c r="D51" s="10" t="str">
        <f>IF(D32&gt;0,D36/D32,"")</f>
        <v/>
      </c>
      <c r="E51" s="10" t="str">
        <f>IF(E32&gt;0,IF(E5&lt;&gt;"",E36/E32,""),"")</f>
        <v/>
      </c>
      <c r="F51" s="10" t="str">
        <f t="shared" ref="F51:M51" si="18">IF(F32&gt;0,IF(F5&lt;&gt;"",F36/F32,""),"")</f>
        <v/>
      </c>
      <c r="G51" s="10" t="str">
        <f t="shared" si="18"/>
        <v/>
      </c>
      <c r="H51" s="10" t="str">
        <f t="shared" si="18"/>
        <v/>
      </c>
      <c r="I51" s="10" t="str">
        <f t="shared" si="18"/>
        <v/>
      </c>
      <c r="J51" s="10" t="str">
        <f t="shared" si="18"/>
        <v/>
      </c>
      <c r="K51" s="10" t="str">
        <f t="shared" si="18"/>
        <v/>
      </c>
      <c r="L51" s="10" t="str">
        <f t="shared" si="18"/>
        <v/>
      </c>
      <c r="M51" s="10" t="str">
        <f t="shared" si="18"/>
        <v/>
      </c>
      <c r="N51" s="5">
        <v>0.32600000000000001</v>
      </c>
    </row>
    <row r="52" spans="1:14" x14ac:dyDescent="0.2">
      <c r="A52" s="7" t="s">
        <v>34</v>
      </c>
      <c r="B52" s="10" t="str">
        <f>IF(B32&gt;0,B39/B32,"")</f>
        <v/>
      </c>
      <c r="C52" s="10" t="str">
        <f>IF(C32&gt;0,C39/C32,"")</f>
        <v/>
      </c>
      <c r="D52" s="10" t="str">
        <f>IF(D32&gt;0,D39/D32,"")</f>
        <v/>
      </c>
      <c r="E52" s="10" t="str">
        <f>IF(E32&gt;0,IF(E5&lt;&gt;"",E39/E32,""),"")</f>
        <v/>
      </c>
      <c r="F52" s="10" t="str">
        <f t="shared" ref="F52:M52" si="19">IF(F32&gt;0,IF(F5&lt;&gt;"",F39/F32,""),"")</f>
        <v/>
      </c>
      <c r="G52" s="10" t="str">
        <f t="shared" si="19"/>
        <v/>
      </c>
      <c r="H52" s="10" t="str">
        <f t="shared" si="19"/>
        <v/>
      </c>
      <c r="I52" s="10" t="str">
        <f t="shared" si="19"/>
        <v/>
      </c>
      <c r="J52" s="10" t="str">
        <f t="shared" si="19"/>
        <v/>
      </c>
      <c r="K52" s="10" t="str">
        <f t="shared" si="19"/>
        <v/>
      </c>
      <c r="L52" s="10" t="str">
        <f t="shared" si="19"/>
        <v/>
      </c>
      <c r="M52" s="10" t="str">
        <f t="shared" si="19"/>
        <v/>
      </c>
      <c r="N52" s="5">
        <v>0.03</v>
      </c>
    </row>
    <row r="53" spans="1:14" x14ac:dyDescent="0.2">
      <c r="A53" s="7" t="s">
        <v>35</v>
      </c>
      <c r="B53" s="10" t="str">
        <f>IF(B32&gt;0,B40/B32,"")</f>
        <v/>
      </c>
      <c r="C53" s="10" t="str">
        <f>IF(C32&gt;0,C40/C32,"")</f>
        <v/>
      </c>
      <c r="D53" s="10" t="str">
        <f>IF(D32&gt;0,D40/D32,"")</f>
        <v/>
      </c>
      <c r="E53" s="10" t="str">
        <f t="shared" ref="E53:M53" si="20">IF(E32&gt;0,IF(E5&lt;&gt;"",E40/E32,""),"")</f>
        <v/>
      </c>
      <c r="F53" s="10" t="str">
        <f t="shared" si="20"/>
        <v/>
      </c>
      <c r="G53" s="10" t="str">
        <f t="shared" si="20"/>
        <v/>
      </c>
      <c r="H53" s="10" t="str">
        <f t="shared" si="20"/>
        <v/>
      </c>
      <c r="I53" s="10" t="str">
        <f t="shared" si="20"/>
        <v/>
      </c>
      <c r="J53" s="10" t="str">
        <f t="shared" si="20"/>
        <v/>
      </c>
      <c r="K53" s="10" t="str">
        <f t="shared" si="20"/>
        <v/>
      </c>
      <c r="L53" s="10" t="str">
        <f t="shared" si="20"/>
        <v/>
      </c>
      <c r="M53" s="10" t="str">
        <f t="shared" si="20"/>
        <v/>
      </c>
      <c r="N53" s="5">
        <v>0.2</v>
      </c>
    </row>
    <row r="54" spans="1:14" x14ac:dyDescent="0.2">
      <c r="A54" s="7" t="s">
        <v>251</v>
      </c>
      <c r="B54" s="154" t="str">
        <f>IF(B32=0,"",(B36/((1-B33/B32))))</f>
        <v/>
      </c>
      <c r="C54" s="154" t="str">
        <f t="shared" ref="C54:M54" si="21">IF(C32=0,"",(C36/((1-C33/C32))))</f>
        <v/>
      </c>
      <c r="D54" s="154" t="str">
        <f t="shared" si="21"/>
        <v/>
      </c>
      <c r="E54" s="154" t="str">
        <f t="shared" si="21"/>
        <v/>
      </c>
      <c r="F54" s="154" t="str">
        <f t="shared" si="21"/>
        <v/>
      </c>
      <c r="G54" s="154" t="str">
        <f t="shared" si="21"/>
        <v/>
      </c>
      <c r="H54" s="154" t="str">
        <f t="shared" si="21"/>
        <v/>
      </c>
      <c r="I54" s="154" t="str">
        <f t="shared" si="21"/>
        <v/>
      </c>
      <c r="J54" s="154" t="str">
        <f t="shared" si="21"/>
        <v/>
      </c>
      <c r="K54" s="154" t="str">
        <f t="shared" si="21"/>
        <v/>
      </c>
      <c r="L54" s="154" t="str">
        <f t="shared" si="21"/>
        <v/>
      </c>
      <c r="M54" s="154" t="str">
        <f t="shared" si="21"/>
        <v/>
      </c>
      <c r="N54" s="20"/>
    </row>
  </sheetData>
  <mergeCells count="5">
    <mergeCell ref="A2:N2"/>
    <mergeCell ref="A3:N3"/>
    <mergeCell ref="A46:N46"/>
    <mergeCell ref="A4:N4"/>
    <mergeCell ref="A1:N1"/>
  </mergeCells>
  <phoneticPr fontId="2" type="noConversion"/>
  <pageMargins left="0.75" right="0.75" top="1" bottom="1" header="0.5" footer="0.5"/>
  <pageSetup scale="65" orientation="landscape"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984</vt:i4>
      </vt:variant>
    </vt:vector>
  </HeadingPairs>
  <TitlesOfParts>
    <vt:vector size="996" baseType="lpstr">
      <vt:lpstr>Overview</vt:lpstr>
      <vt:lpstr>Assumptions</vt:lpstr>
      <vt:lpstr>Operating Expenses</vt:lpstr>
      <vt:lpstr>Products</vt:lpstr>
      <vt:lpstr>Sales</vt:lpstr>
      <vt:lpstr>Cash Flow</vt:lpstr>
      <vt:lpstr>Loans</vt:lpstr>
      <vt:lpstr>Equipment</vt:lpstr>
      <vt:lpstr>Income Statement</vt:lpstr>
      <vt:lpstr>Balance Sheet</vt:lpstr>
      <vt:lpstr>Graphs</vt:lpstr>
      <vt:lpstr>FAQ</vt:lpstr>
      <vt:lpstr>AP</vt:lpstr>
      <vt:lpstr>AprAR</vt:lpstr>
      <vt:lpstr>AprCOGS</vt:lpstr>
      <vt:lpstr>AprCommish</vt:lpstr>
      <vt:lpstr>AprDepr</vt:lpstr>
      <vt:lpstr>AprEndingCash</vt:lpstr>
      <vt:lpstr>AprEqmt</vt:lpstr>
      <vt:lpstr>AprEquity</vt:lpstr>
      <vt:lpstr>AprFreight</vt:lpstr>
      <vt:lpstr>AprIncome</vt:lpstr>
      <vt:lpstr>AprIncomeTax</vt:lpstr>
      <vt:lpstr>AprInt</vt:lpstr>
      <vt:lpstr>AprInventory</vt:lpstr>
      <vt:lpstr>AprLabor</vt:lpstr>
      <vt:lpstr>AprLine1COGS</vt:lpstr>
      <vt:lpstr>AprLine1Freight</vt:lpstr>
      <vt:lpstr>AprLine1Labor</vt:lpstr>
      <vt:lpstr>AprLine1Mat</vt:lpstr>
      <vt:lpstr>AprLine1Price</vt:lpstr>
      <vt:lpstr>AprLine1Units</vt:lpstr>
      <vt:lpstr>AprLine2COGS</vt:lpstr>
      <vt:lpstr>AprLine2Freight</vt:lpstr>
      <vt:lpstr>AprLine2Labor</vt:lpstr>
      <vt:lpstr>AprLine2Mat</vt:lpstr>
      <vt:lpstr>AprLine2Price</vt:lpstr>
      <vt:lpstr>AprLine2Units</vt:lpstr>
      <vt:lpstr>AprLine3COGS</vt:lpstr>
      <vt:lpstr>AprLine3Freight</vt:lpstr>
      <vt:lpstr>AprLine3Labor</vt:lpstr>
      <vt:lpstr>AprLine3Mat</vt:lpstr>
      <vt:lpstr>AprLine3Price</vt:lpstr>
      <vt:lpstr>AprLine3Units</vt:lpstr>
      <vt:lpstr>AprLine4COGS</vt:lpstr>
      <vt:lpstr>AprLine4Freight</vt:lpstr>
      <vt:lpstr>AprLine4Labor</vt:lpstr>
      <vt:lpstr>AprLine4Mat</vt:lpstr>
      <vt:lpstr>AprLine4Price</vt:lpstr>
      <vt:lpstr>AprLine4Units</vt:lpstr>
      <vt:lpstr>AprLine5COGS</vt:lpstr>
      <vt:lpstr>AprLine5Freight</vt:lpstr>
      <vt:lpstr>AprLine5Labor</vt:lpstr>
      <vt:lpstr>AprLine5Mat</vt:lpstr>
      <vt:lpstr>AprLine5Price</vt:lpstr>
      <vt:lpstr>AprLine5Units</vt:lpstr>
      <vt:lpstr>AprLoans</vt:lpstr>
      <vt:lpstr>AprLong</vt:lpstr>
      <vt:lpstr>AprMat</vt:lpstr>
      <vt:lpstr>AprNet</vt:lpstr>
      <vt:lpstr>AprOE</vt:lpstr>
      <vt:lpstr>AprOEPRTax</vt:lpstr>
      <vt:lpstr>AprPayment</vt:lpstr>
      <vt:lpstr>AprPrinciple</vt:lpstr>
      <vt:lpstr>AprPRTax</vt:lpstr>
      <vt:lpstr>AprRate</vt:lpstr>
      <vt:lpstr>AprRevenue</vt:lpstr>
      <vt:lpstr>AprSales</vt:lpstr>
      <vt:lpstr>AprShort</vt:lpstr>
      <vt:lpstr>AprTaxes</vt:lpstr>
      <vt:lpstr>AprTerm</vt:lpstr>
      <vt:lpstr>AprTotalPays</vt:lpstr>
      <vt:lpstr>AprTotEquity</vt:lpstr>
      <vt:lpstr>AR120DaysPercent</vt:lpstr>
      <vt:lpstr>AR30DaysPercent</vt:lpstr>
      <vt:lpstr>AR60DaysPercent</vt:lpstr>
      <vt:lpstr>AR90DaysPercent</vt:lpstr>
      <vt:lpstr>AugAR</vt:lpstr>
      <vt:lpstr>AugCOGS</vt:lpstr>
      <vt:lpstr>AugCommish</vt:lpstr>
      <vt:lpstr>AugDepr</vt:lpstr>
      <vt:lpstr>AugEndingCash</vt:lpstr>
      <vt:lpstr>AugEqmt</vt:lpstr>
      <vt:lpstr>AugEquity</vt:lpstr>
      <vt:lpstr>AugFreight</vt:lpstr>
      <vt:lpstr>AugIncome</vt:lpstr>
      <vt:lpstr>AugIncomeTax</vt:lpstr>
      <vt:lpstr>AugInt</vt:lpstr>
      <vt:lpstr>AugInventory</vt:lpstr>
      <vt:lpstr>AugLabor</vt:lpstr>
      <vt:lpstr>AugLine1COGS</vt:lpstr>
      <vt:lpstr>AugLine1Freight</vt:lpstr>
      <vt:lpstr>AugLine1Labor</vt:lpstr>
      <vt:lpstr>AugLine1Mat</vt:lpstr>
      <vt:lpstr>AugLine1Price</vt:lpstr>
      <vt:lpstr>AugLine1Units</vt:lpstr>
      <vt:lpstr>AugLine2COGS</vt:lpstr>
      <vt:lpstr>AugLine2Freight</vt:lpstr>
      <vt:lpstr>AugLine2Labor</vt:lpstr>
      <vt:lpstr>AugLine2Mat</vt:lpstr>
      <vt:lpstr>AugLine2Price</vt:lpstr>
      <vt:lpstr>AugLine2Units</vt:lpstr>
      <vt:lpstr>AugLine3COGS</vt:lpstr>
      <vt:lpstr>AugLine3Freight</vt:lpstr>
      <vt:lpstr>AugLine3Labor</vt:lpstr>
      <vt:lpstr>AugLine3Mat</vt:lpstr>
      <vt:lpstr>AugLine3Price</vt:lpstr>
      <vt:lpstr>AugLine3Units</vt:lpstr>
      <vt:lpstr>AugLine4COGS</vt:lpstr>
      <vt:lpstr>AugLine4Freight</vt:lpstr>
      <vt:lpstr>AugLine4Labor</vt:lpstr>
      <vt:lpstr>AugLine4Mat</vt:lpstr>
      <vt:lpstr>AugLine4Price</vt:lpstr>
      <vt:lpstr>AugLine4Units</vt:lpstr>
      <vt:lpstr>AugLine5COGS</vt:lpstr>
      <vt:lpstr>AugLine5Freight</vt:lpstr>
      <vt:lpstr>AugLine5Labor</vt:lpstr>
      <vt:lpstr>AugLine5Mat</vt:lpstr>
      <vt:lpstr>AugLine5Price</vt:lpstr>
      <vt:lpstr>AugLine5Units</vt:lpstr>
      <vt:lpstr>AugLoans</vt:lpstr>
      <vt:lpstr>AugLong</vt:lpstr>
      <vt:lpstr>AugMat</vt:lpstr>
      <vt:lpstr>AugNet</vt:lpstr>
      <vt:lpstr>AugOE</vt:lpstr>
      <vt:lpstr>AugOEPRTax</vt:lpstr>
      <vt:lpstr>AugPayment</vt:lpstr>
      <vt:lpstr>AugPrinciple</vt:lpstr>
      <vt:lpstr>AugPRTax</vt:lpstr>
      <vt:lpstr>AugRate</vt:lpstr>
      <vt:lpstr>AugRevenue</vt:lpstr>
      <vt:lpstr>AugSales</vt:lpstr>
      <vt:lpstr>AugShort</vt:lpstr>
      <vt:lpstr>AugTaxes</vt:lpstr>
      <vt:lpstr>AugTerm</vt:lpstr>
      <vt:lpstr>AugTotalPays</vt:lpstr>
      <vt:lpstr>AugTotEquity</vt:lpstr>
      <vt:lpstr>BeginningCash</vt:lpstr>
      <vt:lpstr>ByWhatDropdown</vt:lpstr>
      <vt:lpstr>CashSalesPercent</vt:lpstr>
      <vt:lpstr>COGSLastItem</vt:lpstr>
      <vt:lpstr>CompanyHeader</vt:lpstr>
      <vt:lpstr>CompanyName</vt:lpstr>
      <vt:lpstr>DecAR</vt:lpstr>
      <vt:lpstr>DecCOGS</vt:lpstr>
      <vt:lpstr>DecCommish</vt:lpstr>
      <vt:lpstr>DecDepr</vt:lpstr>
      <vt:lpstr>DecEndingCash</vt:lpstr>
      <vt:lpstr>DecEqmt</vt:lpstr>
      <vt:lpstr>DecEquity</vt:lpstr>
      <vt:lpstr>DecFreight</vt:lpstr>
      <vt:lpstr>DecIncome</vt:lpstr>
      <vt:lpstr>DecIncomeTax</vt:lpstr>
      <vt:lpstr>DecInt</vt:lpstr>
      <vt:lpstr>DecInventory</vt:lpstr>
      <vt:lpstr>DecLabor</vt:lpstr>
      <vt:lpstr>DecLine1COGS</vt:lpstr>
      <vt:lpstr>DecLine1Freight</vt:lpstr>
      <vt:lpstr>DecLine1Labor</vt:lpstr>
      <vt:lpstr>DecLine1Mat</vt:lpstr>
      <vt:lpstr>DecLine1Price</vt:lpstr>
      <vt:lpstr>DecLine1Units</vt:lpstr>
      <vt:lpstr>DecLine2COGS</vt:lpstr>
      <vt:lpstr>DecLine2Freight</vt:lpstr>
      <vt:lpstr>DecLine2Labor</vt:lpstr>
      <vt:lpstr>DecLine2Mat</vt:lpstr>
      <vt:lpstr>DecLine2Price</vt:lpstr>
      <vt:lpstr>DecLine2Units</vt:lpstr>
      <vt:lpstr>DecLine3COGS</vt:lpstr>
      <vt:lpstr>DecLine3Freight</vt:lpstr>
      <vt:lpstr>DecLine3Labor</vt:lpstr>
      <vt:lpstr>DecLine3Mat</vt:lpstr>
      <vt:lpstr>DecLine3Price</vt:lpstr>
      <vt:lpstr>DecLine3Units</vt:lpstr>
      <vt:lpstr>DecLine4COGS</vt:lpstr>
      <vt:lpstr>DecLine4Freight</vt:lpstr>
      <vt:lpstr>DecLine4Labor</vt:lpstr>
      <vt:lpstr>DecLine4Mat</vt:lpstr>
      <vt:lpstr>DecLine4Price</vt:lpstr>
      <vt:lpstr>DecLine4Units</vt:lpstr>
      <vt:lpstr>DecLine5COGS</vt:lpstr>
      <vt:lpstr>DecLine5Freight</vt:lpstr>
      <vt:lpstr>DecLine5Labor</vt:lpstr>
      <vt:lpstr>DecLine5Mat</vt:lpstr>
      <vt:lpstr>DecLine5Price</vt:lpstr>
      <vt:lpstr>DecLine5Units</vt:lpstr>
      <vt:lpstr>DecLoans</vt:lpstr>
      <vt:lpstr>DecLong</vt:lpstr>
      <vt:lpstr>DecMat</vt:lpstr>
      <vt:lpstr>DecNet</vt:lpstr>
      <vt:lpstr>DecOE</vt:lpstr>
      <vt:lpstr>DecOEPRTax</vt:lpstr>
      <vt:lpstr>DecPayment</vt:lpstr>
      <vt:lpstr>DecPrinciple</vt:lpstr>
      <vt:lpstr>DecPRTax</vt:lpstr>
      <vt:lpstr>DecRate</vt:lpstr>
      <vt:lpstr>DecRevenue</vt:lpstr>
      <vt:lpstr>DecSales</vt:lpstr>
      <vt:lpstr>DecShort</vt:lpstr>
      <vt:lpstr>DecTaxes</vt:lpstr>
      <vt:lpstr>DecTerm</vt:lpstr>
      <vt:lpstr>DecTotalPays</vt:lpstr>
      <vt:lpstr>DecTotEquity</vt:lpstr>
      <vt:lpstr>ExistingLong</vt:lpstr>
      <vt:lpstr>ExistingName</vt:lpstr>
      <vt:lpstr>ExistingName2</vt:lpstr>
      <vt:lpstr>ExistingName3</vt:lpstr>
      <vt:lpstr>ExistingName4</vt:lpstr>
      <vt:lpstr>ExistingName5</vt:lpstr>
      <vt:lpstr>ExistingPayment</vt:lpstr>
      <vt:lpstr>ExistingPayment2</vt:lpstr>
      <vt:lpstr>ExistingPayment3</vt:lpstr>
      <vt:lpstr>ExistingPayment4</vt:lpstr>
      <vt:lpstr>ExistingPayment5</vt:lpstr>
      <vt:lpstr>ExistingPrinciple</vt:lpstr>
      <vt:lpstr>ExistingPrinciple2</vt:lpstr>
      <vt:lpstr>ExistingPrinciple3</vt:lpstr>
      <vt:lpstr>ExistingPrinciple4</vt:lpstr>
      <vt:lpstr>ExistingPrinciple5</vt:lpstr>
      <vt:lpstr>ExistingRate</vt:lpstr>
      <vt:lpstr>ExistingRate2</vt:lpstr>
      <vt:lpstr>ExistingRate3</vt:lpstr>
      <vt:lpstr>ExistingRate4</vt:lpstr>
      <vt:lpstr>ExistingRate5</vt:lpstr>
      <vt:lpstr>ExistingShort</vt:lpstr>
      <vt:lpstr>ExistingTerm</vt:lpstr>
      <vt:lpstr>ExistingTerm2</vt:lpstr>
      <vt:lpstr>ExistingTerm3</vt:lpstr>
      <vt:lpstr>ExistingTerm4</vt:lpstr>
      <vt:lpstr>ExistingTerm5</vt:lpstr>
      <vt:lpstr>FebAR</vt:lpstr>
      <vt:lpstr>FebCOGS</vt:lpstr>
      <vt:lpstr>FebCommish</vt:lpstr>
      <vt:lpstr>FebDepr</vt:lpstr>
      <vt:lpstr>FebEndingCash</vt:lpstr>
      <vt:lpstr>FebEqmt</vt:lpstr>
      <vt:lpstr>FebEquity</vt:lpstr>
      <vt:lpstr>FebFreight</vt:lpstr>
      <vt:lpstr>FebIncome</vt:lpstr>
      <vt:lpstr>FebIncomeTax</vt:lpstr>
      <vt:lpstr>FebInt</vt:lpstr>
      <vt:lpstr>FebInventory</vt:lpstr>
      <vt:lpstr>FebLabor</vt:lpstr>
      <vt:lpstr>FebLine1COGS</vt:lpstr>
      <vt:lpstr>FebLine1Freight</vt:lpstr>
      <vt:lpstr>FebLine1Labor</vt:lpstr>
      <vt:lpstr>FebLine1Mat</vt:lpstr>
      <vt:lpstr>FebLine1Price</vt:lpstr>
      <vt:lpstr>FebLine1Units</vt:lpstr>
      <vt:lpstr>FebLine2COGS</vt:lpstr>
      <vt:lpstr>FebLine2Freight</vt:lpstr>
      <vt:lpstr>FebLine2Labor</vt:lpstr>
      <vt:lpstr>FebLine2Mat</vt:lpstr>
      <vt:lpstr>FebLine2Price</vt:lpstr>
      <vt:lpstr>FebLine2Units</vt:lpstr>
      <vt:lpstr>FebLine3COGS</vt:lpstr>
      <vt:lpstr>FebLine3Freight</vt:lpstr>
      <vt:lpstr>FebLine3Labor</vt:lpstr>
      <vt:lpstr>FebLine3Mat</vt:lpstr>
      <vt:lpstr>FebLine3Price</vt:lpstr>
      <vt:lpstr>FebLine3Units</vt:lpstr>
      <vt:lpstr>FebLine4COGS</vt:lpstr>
      <vt:lpstr>FebLine4Freight</vt:lpstr>
      <vt:lpstr>FebLine4Labor</vt:lpstr>
      <vt:lpstr>FebLine4Mat</vt:lpstr>
      <vt:lpstr>FebLine4Price</vt:lpstr>
      <vt:lpstr>FebLine4Units</vt:lpstr>
      <vt:lpstr>FebLine5COGS</vt:lpstr>
      <vt:lpstr>FebLine5Freight</vt:lpstr>
      <vt:lpstr>FebLine5Labor</vt:lpstr>
      <vt:lpstr>FebLine5Mat</vt:lpstr>
      <vt:lpstr>FebLine5Price</vt:lpstr>
      <vt:lpstr>FebLine5Units</vt:lpstr>
      <vt:lpstr>FebLoans</vt:lpstr>
      <vt:lpstr>FebLong</vt:lpstr>
      <vt:lpstr>FebMat</vt:lpstr>
      <vt:lpstr>FebNet</vt:lpstr>
      <vt:lpstr>FebOE</vt:lpstr>
      <vt:lpstr>FebOEPRTax</vt:lpstr>
      <vt:lpstr>FebPayment</vt:lpstr>
      <vt:lpstr>FebPrinciple</vt:lpstr>
      <vt:lpstr>FebPRTax</vt:lpstr>
      <vt:lpstr>FebRate</vt:lpstr>
      <vt:lpstr>FebRevenue</vt:lpstr>
      <vt:lpstr>FebSales</vt:lpstr>
      <vt:lpstr>FebShort</vt:lpstr>
      <vt:lpstr>FebTaxes</vt:lpstr>
      <vt:lpstr>FebTerm</vt:lpstr>
      <vt:lpstr>FebTotalPays</vt:lpstr>
      <vt:lpstr>FebTotEquity</vt:lpstr>
      <vt:lpstr>IndustryCurrentRatio</vt:lpstr>
      <vt:lpstr>IndustryPBTPercent</vt:lpstr>
      <vt:lpstr>Inventory</vt:lpstr>
      <vt:lpstr>JanAR</vt:lpstr>
      <vt:lpstr>JanCOGS</vt:lpstr>
      <vt:lpstr>JanCommish</vt:lpstr>
      <vt:lpstr>JanDepr</vt:lpstr>
      <vt:lpstr>JanEndingCash</vt:lpstr>
      <vt:lpstr>JanEqmt</vt:lpstr>
      <vt:lpstr>JanEquity</vt:lpstr>
      <vt:lpstr>JanFreight</vt:lpstr>
      <vt:lpstr>JanIncome</vt:lpstr>
      <vt:lpstr>JanIncomeTax</vt:lpstr>
      <vt:lpstr>JanInt</vt:lpstr>
      <vt:lpstr>JanInventory</vt:lpstr>
      <vt:lpstr>JanLabor</vt:lpstr>
      <vt:lpstr>JanLine1COGS</vt:lpstr>
      <vt:lpstr>JanLine1Freight</vt:lpstr>
      <vt:lpstr>JanLine1Labor</vt:lpstr>
      <vt:lpstr>JanLine1Mat</vt:lpstr>
      <vt:lpstr>JanLine1Price</vt:lpstr>
      <vt:lpstr>JanLine1Units</vt:lpstr>
      <vt:lpstr>JanLine2COGS</vt:lpstr>
      <vt:lpstr>JanLine2Freight</vt:lpstr>
      <vt:lpstr>JanLine2Labor</vt:lpstr>
      <vt:lpstr>JanLine2Mat</vt:lpstr>
      <vt:lpstr>JanLine2Price</vt:lpstr>
      <vt:lpstr>JanLine2Units</vt:lpstr>
      <vt:lpstr>JanLine3COGS</vt:lpstr>
      <vt:lpstr>JanLine3Freight</vt:lpstr>
      <vt:lpstr>JanLine3Labor</vt:lpstr>
      <vt:lpstr>JanLine3Mat</vt:lpstr>
      <vt:lpstr>JanLine3Price</vt:lpstr>
      <vt:lpstr>JanLine3Units</vt:lpstr>
      <vt:lpstr>JanLine4COGS</vt:lpstr>
      <vt:lpstr>JanLine4Freight</vt:lpstr>
      <vt:lpstr>JanLine4Labor</vt:lpstr>
      <vt:lpstr>JanLine4Mat</vt:lpstr>
      <vt:lpstr>JanLine4Price</vt:lpstr>
      <vt:lpstr>JanLine4Units</vt:lpstr>
      <vt:lpstr>JanLine5COGS</vt:lpstr>
      <vt:lpstr>JanLine5Freight</vt:lpstr>
      <vt:lpstr>JanLine5Labor</vt:lpstr>
      <vt:lpstr>JanLine5Mat</vt:lpstr>
      <vt:lpstr>JanLine5Price</vt:lpstr>
      <vt:lpstr>JanLine5Units</vt:lpstr>
      <vt:lpstr>JanLoans</vt:lpstr>
      <vt:lpstr>JanLong</vt:lpstr>
      <vt:lpstr>JanMat</vt:lpstr>
      <vt:lpstr>JanNet</vt:lpstr>
      <vt:lpstr>JanOE</vt:lpstr>
      <vt:lpstr>JanOEPRTax</vt:lpstr>
      <vt:lpstr>JanPayment</vt:lpstr>
      <vt:lpstr>JanPrinciple</vt:lpstr>
      <vt:lpstr>JanPRTax</vt:lpstr>
      <vt:lpstr>JanRate</vt:lpstr>
      <vt:lpstr>JanRevenue</vt:lpstr>
      <vt:lpstr>JanSales</vt:lpstr>
      <vt:lpstr>JanShort</vt:lpstr>
      <vt:lpstr>JanTaxes</vt:lpstr>
      <vt:lpstr>JanTerm</vt:lpstr>
      <vt:lpstr>JanTotalPays</vt:lpstr>
      <vt:lpstr>JanTotEquity</vt:lpstr>
      <vt:lpstr>JulAR</vt:lpstr>
      <vt:lpstr>JulCOGS</vt:lpstr>
      <vt:lpstr>JulCommish</vt:lpstr>
      <vt:lpstr>JulDepr</vt:lpstr>
      <vt:lpstr>JulEndingCash</vt:lpstr>
      <vt:lpstr>JulEqmt</vt:lpstr>
      <vt:lpstr>JulEquity</vt:lpstr>
      <vt:lpstr>JulFreight</vt:lpstr>
      <vt:lpstr>JulIncome</vt:lpstr>
      <vt:lpstr>JulIncomeTax</vt:lpstr>
      <vt:lpstr>JulInt</vt:lpstr>
      <vt:lpstr>JulInventory</vt:lpstr>
      <vt:lpstr>JulLabor</vt:lpstr>
      <vt:lpstr>JulLine1COGS</vt:lpstr>
      <vt:lpstr>JulLine1Freight</vt:lpstr>
      <vt:lpstr>JulLine1Labor</vt:lpstr>
      <vt:lpstr>JulLine1Mat</vt:lpstr>
      <vt:lpstr>JulLine1Price</vt:lpstr>
      <vt:lpstr>JulLine1Units</vt:lpstr>
      <vt:lpstr>JulLine2COGS</vt:lpstr>
      <vt:lpstr>JulLine2Freight</vt:lpstr>
      <vt:lpstr>JulLine2Labor</vt:lpstr>
      <vt:lpstr>JulLine2Mat</vt:lpstr>
      <vt:lpstr>JulLine2Price</vt:lpstr>
      <vt:lpstr>JulLine2Units</vt:lpstr>
      <vt:lpstr>JulLine3COGS</vt:lpstr>
      <vt:lpstr>JulLine3Freight</vt:lpstr>
      <vt:lpstr>JulLine3Labor</vt:lpstr>
      <vt:lpstr>JulLine3Mat</vt:lpstr>
      <vt:lpstr>JulLine3Price</vt:lpstr>
      <vt:lpstr>JulLine3Units</vt:lpstr>
      <vt:lpstr>JulLine4COGS</vt:lpstr>
      <vt:lpstr>JulLine4Freight</vt:lpstr>
      <vt:lpstr>JulLine4Labor</vt:lpstr>
      <vt:lpstr>JulLine4Mat</vt:lpstr>
      <vt:lpstr>JulLine4Price</vt:lpstr>
      <vt:lpstr>JulLine4Units</vt:lpstr>
      <vt:lpstr>JulLine5COGS</vt:lpstr>
      <vt:lpstr>JulLine5Freight</vt:lpstr>
      <vt:lpstr>JulLine5Labor</vt:lpstr>
      <vt:lpstr>JulLine5Mat</vt:lpstr>
      <vt:lpstr>JulLine5Price</vt:lpstr>
      <vt:lpstr>JulLine5Units</vt:lpstr>
      <vt:lpstr>JulLoans</vt:lpstr>
      <vt:lpstr>JulLong</vt:lpstr>
      <vt:lpstr>JulMat</vt:lpstr>
      <vt:lpstr>JulNet</vt:lpstr>
      <vt:lpstr>JulOE</vt:lpstr>
      <vt:lpstr>JulOEPRTax</vt:lpstr>
      <vt:lpstr>JulPayment</vt:lpstr>
      <vt:lpstr>JulPrinciple</vt:lpstr>
      <vt:lpstr>JulPRTax</vt:lpstr>
      <vt:lpstr>JulRate</vt:lpstr>
      <vt:lpstr>JulRevenue</vt:lpstr>
      <vt:lpstr>JulSales</vt:lpstr>
      <vt:lpstr>JulShort</vt:lpstr>
      <vt:lpstr>JulTaxes</vt:lpstr>
      <vt:lpstr>JulTerm</vt:lpstr>
      <vt:lpstr>JulTotalPays</vt:lpstr>
      <vt:lpstr>JulTotEquity</vt:lpstr>
      <vt:lpstr>JunAR</vt:lpstr>
      <vt:lpstr>JunCOGS</vt:lpstr>
      <vt:lpstr>JunCommish</vt:lpstr>
      <vt:lpstr>JunDepr</vt:lpstr>
      <vt:lpstr>JunEndingCash</vt:lpstr>
      <vt:lpstr>JunEqmt</vt:lpstr>
      <vt:lpstr>JunEquity</vt:lpstr>
      <vt:lpstr>JunFreight</vt:lpstr>
      <vt:lpstr>JunIncome</vt:lpstr>
      <vt:lpstr>JunIncomeTax</vt:lpstr>
      <vt:lpstr>JunInt</vt:lpstr>
      <vt:lpstr>JunInventory</vt:lpstr>
      <vt:lpstr>JunLabor</vt:lpstr>
      <vt:lpstr>JunLine1COGS</vt:lpstr>
      <vt:lpstr>JunLine1Freight</vt:lpstr>
      <vt:lpstr>JunLine1Labor</vt:lpstr>
      <vt:lpstr>JunLine1Mat</vt:lpstr>
      <vt:lpstr>JunLine1Price</vt:lpstr>
      <vt:lpstr>JunLine1Units</vt:lpstr>
      <vt:lpstr>JunLine2COGS</vt:lpstr>
      <vt:lpstr>JunLine2Freight</vt:lpstr>
      <vt:lpstr>JunLine2Labor</vt:lpstr>
      <vt:lpstr>JunLine2Mat</vt:lpstr>
      <vt:lpstr>JunLine2Price</vt:lpstr>
      <vt:lpstr>JunLine2Units</vt:lpstr>
      <vt:lpstr>JunLine3COGS</vt:lpstr>
      <vt:lpstr>JunLine3Freight</vt:lpstr>
      <vt:lpstr>JunLine3Labor</vt:lpstr>
      <vt:lpstr>JunLine3Mat</vt:lpstr>
      <vt:lpstr>JunLine3Price</vt:lpstr>
      <vt:lpstr>JunLine3Units</vt:lpstr>
      <vt:lpstr>JunLine4COGS</vt:lpstr>
      <vt:lpstr>JunLine4Freight</vt:lpstr>
      <vt:lpstr>JunLine4Labor</vt:lpstr>
      <vt:lpstr>JunLine4Mat</vt:lpstr>
      <vt:lpstr>JunLine4Price</vt:lpstr>
      <vt:lpstr>JunLine4Units</vt:lpstr>
      <vt:lpstr>JunLine5COGS</vt:lpstr>
      <vt:lpstr>JunLine5Freight</vt:lpstr>
      <vt:lpstr>JunLine5Labor</vt:lpstr>
      <vt:lpstr>JunLine5Mat</vt:lpstr>
      <vt:lpstr>JunLine5Price</vt:lpstr>
      <vt:lpstr>JunLine5Units</vt:lpstr>
      <vt:lpstr>JunLoans</vt:lpstr>
      <vt:lpstr>JunLong</vt:lpstr>
      <vt:lpstr>JunMat</vt:lpstr>
      <vt:lpstr>JunNet</vt:lpstr>
      <vt:lpstr>JunOE</vt:lpstr>
      <vt:lpstr>JunOEPRTax</vt:lpstr>
      <vt:lpstr>JunPayment</vt:lpstr>
      <vt:lpstr>JunPrinciple</vt:lpstr>
      <vt:lpstr>JunPRTax</vt:lpstr>
      <vt:lpstr>JunRate</vt:lpstr>
      <vt:lpstr>JunRevenue</vt:lpstr>
      <vt:lpstr>JunSales</vt:lpstr>
      <vt:lpstr>JunShort</vt:lpstr>
      <vt:lpstr>JunTaxes</vt:lpstr>
      <vt:lpstr>JunTerm</vt:lpstr>
      <vt:lpstr>JunTotalPays</vt:lpstr>
      <vt:lpstr>JunTotEquity</vt:lpstr>
      <vt:lpstr>LastQuarterFixedAssets</vt:lpstr>
      <vt:lpstr>Line1HighCOGS</vt:lpstr>
      <vt:lpstr>Line1HighFreight</vt:lpstr>
      <vt:lpstr>Line1HighLabor</vt:lpstr>
      <vt:lpstr>Line1HighMat</vt:lpstr>
      <vt:lpstr>Line1HighPrice</vt:lpstr>
      <vt:lpstr>Line1Low</vt:lpstr>
      <vt:lpstr>Line1LowCOGS</vt:lpstr>
      <vt:lpstr>Line1LowFreight</vt:lpstr>
      <vt:lpstr>Line1LowLabor</vt:lpstr>
      <vt:lpstr>Line1LowMat</vt:lpstr>
      <vt:lpstr>Line1LowPrice</vt:lpstr>
      <vt:lpstr>Line1Med</vt:lpstr>
      <vt:lpstr>Line1MedCOGS</vt:lpstr>
      <vt:lpstr>Line1MedFreight</vt:lpstr>
      <vt:lpstr>Line1MedLabor</vt:lpstr>
      <vt:lpstr>Line1MedMat</vt:lpstr>
      <vt:lpstr>Line1MedPrice</vt:lpstr>
      <vt:lpstr>Line1Name</vt:lpstr>
      <vt:lpstr>Line2HighCOGS</vt:lpstr>
      <vt:lpstr>Line2HighFreight</vt:lpstr>
      <vt:lpstr>Line2HighLabor</vt:lpstr>
      <vt:lpstr>Line2HighMat</vt:lpstr>
      <vt:lpstr>Line2HighPrice</vt:lpstr>
      <vt:lpstr>Line2Low</vt:lpstr>
      <vt:lpstr>Line2LowCOGS</vt:lpstr>
      <vt:lpstr>Line2LowFreight</vt:lpstr>
      <vt:lpstr>Line2LowLabor</vt:lpstr>
      <vt:lpstr>Line2LowMat</vt:lpstr>
      <vt:lpstr>Line2LowPrice</vt:lpstr>
      <vt:lpstr>Line2Med</vt:lpstr>
      <vt:lpstr>Line2MedCOGS</vt:lpstr>
      <vt:lpstr>Line2MedFreight</vt:lpstr>
      <vt:lpstr>Line2MedLabor</vt:lpstr>
      <vt:lpstr>Line2MedMat</vt:lpstr>
      <vt:lpstr>Line2MedPrice</vt:lpstr>
      <vt:lpstr>Line2Name</vt:lpstr>
      <vt:lpstr>Line3HighCOGS</vt:lpstr>
      <vt:lpstr>Line3HighFreight</vt:lpstr>
      <vt:lpstr>Line3HighLabor</vt:lpstr>
      <vt:lpstr>Line3HighMat</vt:lpstr>
      <vt:lpstr>Line3HighPrice</vt:lpstr>
      <vt:lpstr>Line3Low</vt:lpstr>
      <vt:lpstr>Line3LowCOGS</vt:lpstr>
      <vt:lpstr>Line3LowFreight</vt:lpstr>
      <vt:lpstr>Line3LowLabor</vt:lpstr>
      <vt:lpstr>Line3LowMat</vt:lpstr>
      <vt:lpstr>Line3LowPrice</vt:lpstr>
      <vt:lpstr>Line3Med</vt:lpstr>
      <vt:lpstr>Line3MedCOGS</vt:lpstr>
      <vt:lpstr>Line3MedFreight</vt:lpstr>
      <vt:lpstr>Line3MedLabor</vt:lpstr>
      <vt:lpstr>Line3MedMat</vt:lpstr>
      <vt:lpstr>Line3MedPrice</vt:lpstr>
      <vt:lpstr>Line3Name</vt:lpstr>
      <vt:lpstr>Line4HighCOGS</vt:lpstr>
      <vt:lpstr>Line4HighFreight</vt:lpstr>
      <vt:lpstr>Line4HighLabor</vt:lpstr>
      <vt:lpstr>Line4HighMat</vt:lpstr>
      <vt:lpstr>Line4HighPrice</vt:lpstr>
      <vt:lpstr>Line4Low</vt:lpstr>
      <vt:lpstr>Line4LowCOGS</vt:lpstr>
      <vt:lpstr>Line4LowFreight</vt:lpstr>
      <vt:lpstr>Line4LowLabor</vt:lpstr>
      <vt:lpstr>Line4LowMat</vt:lpstr>
      <vt:lpstr>Line4LowPrice</vt:lpstr>
      <vt:lpstr>Line4Med</vt:lpstr>
      <vt:lpstr>Line4MedCOGS</vt:lpstr>
      <vt:lpstr>Line4MedFreight</vt:lpstr>
      <vt:lpstr>Line4MedLabor</vt:lpstr>
      <vt:lpstr>Line4MedMat</vt:lpstr>
      <vt:lpstr>Line4MedPrice</vt:lpstr>
      <vt:lpstr>Line4Name</vt:lpstr>
      <vt:lpstr>Line5HighCOGS</vt:lpstr>
      <vt:lpstr>Line5HighFreight</vt:lpstr>
      <vt:lpstr>Line5HighLabor</vt:lpstr>
      <vt:lpstr>Line5HighMat</vt:lpstr>
      <vt:lpstr>Line5HighPrice</vt:lpstr>
      <vt:lpstr>Line5Low</vt:lpstr>
      <vt:lpstr>Line5LowCOGS</vt:lpstr>
      <vt:lpstr>Line5LowFreight</vt:lpstr>
      <vt:lpstr>Line5LowLabor</vt:lpstr>
      <vt:lpstr>Line5LowMat</vt:lpstr>
      <vt:lpstr>Line5LowPrice</vt:lpstr>
      <vt:lpstr>Line5Med</vt:lpstr>
      <vt:lpstr>Line5MedCOGS</vt:lpstr>
      <vt:lpstr>Line5MedFreight</vt:lpstr>
      <vt:lpstr>Line5MedLabor</vt:lpstr>
      <vt:lpstr>Line5MedMat</vt:lpstr>
      <vt:lpstr>Line5MedPrice</vt:lpstr>
      <vt:lpstr>Line5Name</vt:lpstr>
      <vt:lpstr>LoanRate</vt:lpstr>
      <vt:lpstr>LoanValue</vt:lpstr>
      <vt:lpstr>MarAR</vt:lpstr>
      <vt:lpstr>MarCOGS</vt:lpstr>
      <vt:lpstr>MarCommish</vt:lpstr>
      <vt:lpstr>MarDepr</vt:lpstr>
      <vt:lpstr>MarEndingCash</vt:lpstr>
      <vt:lpstr>MarEqmt</vt:lpstr>
      <vt:lpstr>MarEquity</vt:lpstr>
      <vt:lpstr>MarFreight</vt:lpstr>
      <vt:lpstr>MarIncome</vt:lpstr>
      <vt:lpstr>MarIncomeTax</vt:lpstr>
      <vt:lpstr>MarInt</vt:lpstr>
      <vt:lpstr>MarInventory</vt:lpstr>
      <vt:lpstr>MarLabor</vt:lpstr>
      <vt:lpstr>MarLine1COGS</vt:lpstr>
      <vt:lpstr>MarLine1Freight</vt:lpstr>
      <vt:lpstr>MarLine1Labor</vt:lpstr>
      <vt:lpstr>MarLine1Mat</vt:lpstr>
      <vt:lpstr>MarLine1Price</vt:lpstr>
      <vt:lpstr>MarLine1Units</vt:lpstr>
      <vt:lpstr>MarLine2COGS</vt:lpstr>
      <vt:lpstr>MarLine2Freight</vt:lpstr>
      <vt:lpstr>MarLine2Labor</vt:lpstr>
      <vt:lpstr>MarLine2Mat</vt:lpstr>
      <vt:lpstr>MarLine2Price</vt:lpstr>
      <vt:lpstr>MarLine2Units</vt:lpstr>
      <vt:lpstr>MarLine3COGS</vt:lpstr>
      <vt:lpstr>MarLine3Freight</vt:lpstr>
      <vt:lpstr>MarLine3Labor</vt:lpstr>
      <vt:lpstr>MarLine3Mat</vt:lpstr>
      <vt:lpstr>MarLine3Price</vt:lpstr>
      <vt:lpstr>MarLine3Units</vt:lpstr>
      <vt:lpstr>MarLine4COGS</vt:lpstr>
      <vt:lpstr>MarLine4Freight</vt:lpstr>
      <vt:lpstr>MarLine4Labor</vt:lpstr>
      <vt:lpstr>MarLine4Mat</vt:lpstr>
      <vt:lpstr>MarLine4Price</vt:lpstr>
      <vt:lpstr>MarLine4Units</vt:lpstr>
      <vt:lpstr>MarLine5COGS</vt:lpstr>
      <vt:lpstr>MarLine5Freight</vt:lpstr>
      <vt:lpstr>MarLine5Labor</vt:lpstr>
      <vt:lpstr>MarLine5Mat</vt:lpstr>
      <vt:lpstr>MarLine5Price</vt:lpstr>
      <vt:lpstr>MarLine5Units</vt:lpstr>
      <vt:lpstr>MarLoans</vt:lpstr>
      <vt:lpstr>MarLong</vt:lpstr>
      <vt:lpstr>MarMat</vt:lpstr>
      <vt:lpstr>MarNet</vt:lpstr>
      <vt:lpstr>MarOE</vt:lpstr>
      <vt:lpstr>MarOEPRTax</vt:lpstr>
      <vt:lpstr>MarPayment</vt:lpstr>
      <vt:lpstr>MarPrinciple</vt:lpstr>
      <vt:lpstr>MarPRTax</vt:lpstr>
      <vt:lpstr>MarRate</vt:lpstr>
      <vt:lpstr>MarRevenue</vt:lpstr>
      <vt:lpstr>MarSales</vt:lpstr>
      <vt:lpstr>MarShort</vt:lpstr>
      <vt:lpstr>MarTaxes</vt:lpstr>
      <vt:lpstr>MarTerm</vt:lpstr>
      <vt:lpstr>MarTotalPays</vt:lpstr>
      <vt:lpstr>MarTotEquity</vt:lpstr>
      <vt:lpstr>MayAR</vt:lpstr>
      <vt:lpstr>MayCOGS</vt:lpstr>
      <vt:lpstr>MayCommish</vt:lpstr>
      <vt:lpstr>MayDepr</vt:lpstr>
      <vt:lpstr>MayEndingCash</vt:lpstr>
      <vt:lpstr>MayEqmt</vt:lpstr>
      <vt:lpstr>MayEquity</vt:lpstr>
      <vt:lpstr>MayFreight</vt:lpstr>
      <vt:lpstr>MayIncome</vt:lpstr>
      <vt:lpstr>MayIncomeTax</vt:lpstr>
      <vt:lpstr>MayInt</vt:lpstr>
      <vt:lpstr>MayInventory</vt:lpstr>
      <vt:lpstr>MayLabor</vt:lpstr>
      <vt:lpstr>MayLine1COGS</vt:lpstr>
      <vt:lpstr>MayLine1Freight</vt:lpstr>
      <vt:lpstr>MayLine1Labor</vt:lpstr>
      <vt:lpstr>MayLine1Mat</vt:lpstr>
      <vt:lpstr>MayLine1Price</vt:lpstr>
      <vt:lpstr>MayLine1Units</vt:lpstr>
      <vt:lpstr>MayLine2COGS</vt:lpstr>
      <vt:lpstr>MayLine2Freight</vt:lpstr>
      <vt:lpstr>MayLine2Labor</vt:lpstr>
      <vt:lpstr>MayLine2Mat</vt:lpstr>
      <vt:lpstr>MayLine2Price</vt:lpstr>
      <vt:lpstr>MayLine2Units</vt:lpstr>
      <vt:lpstr>MayLine3COGS</vt:lpstr>
      <vt:lpstr>MayLine3Freight</vt:lpstr>
      <vt:lpstr>MayLine3Labor</vt:lpstr>
      <vt:lpstr>MayLine3Mat</vt:lpstr>
      <vt:lpstr>MayLine3Price</vt:lpstr>
      <vt:lpstr>MayLine3Units</vt:lpstr>
      <vt:lpstr>MayLine4COGS</vt:lpstr>
      <vt:lpstr>MayLine4Freight</vt:lpstr>
      <vt:lpstr>MayLine4Labor</vt:lpstr>
      <vt:lpstr>MayLine4Mat</vt:lpstr>
      <vt:lpstr>MayLine4Price</vt:lpstr>
      <vt:lpstr>MayLine4Units</vt:lpstr>
      <vt:lpstr>MayLine5COGS</vt:lpstr>
      <vt:lpstr>MayLine5Freight</vt:lpstr>
      <vt:lpstr>MayLine5Labor</vt:lpstr>
      <vt:lpstr>MayLine5Mat</vt:lpstr>
      <vt:lpstr>MayLine5Price</vt:lpstr>
      <vt:lpstr>MayLine5Units</vt:lpstr>
      <vt:lpstr>MayLoans</vt:lpstr>
      <vt:lpstr>MayLong</vt:lpstr>
      <vt:lpstr>MayMat</vt:lpstr>
      <vt:lpstr>MayNet</vt:lpstr>
      <vt:lpstr>MayOE</vt:lpstr>
      <vt:lpstr>MayOEPRTax</vt:lpstr>
      <vt:lpstr>MayPayment</vt:lpstr>
      <vt:lpstr>MayPrinciple</vt:lpstr>
      <vt:lpstr>MayPRTax</vt:lpstr>
      <vt:lpstr>MayRate</vt:lpstr>
      <vt:lpstr>MayRevenue</vt:lpstr>
      <vt:lpstr>MaySales</vt:lpstr>
      <vt:lpstr>MayShort</vt:lpstr>
      <vt:lpstr>MayTaxes</vt:lpstr>
      <vt:lpstr>MayTerm</vt:lpstr>
      <vt:lpstr>MayTotalPays</vt:lpstr>
      <vt:lpstr>MayTotEquity</vt:lpstr>
      <vt:lpstr>Month1</vt:lpstr>
      <vt:lpstr>Month10</vt:lpstr>
      <vt:lpstr>Month11</vt:lpstr>
      <vt:lpstr>Month12</vt:lpstr>
      <vt:lpstr>Month2</vt:lpstr>
      <vt:lpstr>Month3</vt:lpstr>
      <vt:lpstr>Month4</vt:lpstr>
      <vt:lpstr>Month5</vt:lpstr>
      <vt:lpstr>Month6</vt:lpstr>
      <vt:lpstr>Month7</vt:lpstr>
      <vt:lpstr>Month8</vt:lpstr>
      <vt:lpstr>Month9</vt:lpstr>
      <vt:lpstr>NovAR</vt:lpstr>
      <vt:lpstr>NovCOGS</vt:lpstr>
      <vt:lpstr>NovCommish</vt:lpstr>
      <vt:lpstr>NovDepr</vt:lpstr>
      <vt:lpstr>NovEndingCash</vt:lpstr>
      <vt:lpstr>NovEqmt</vt:lpstr>
      <vt:lpstr>NovEquity</vt:lpstr>
      <vt:lpstr>NovFreight</vt:lpstr>
      <vt:lpstr>NovIncome</vt:lpstr>
      <vt:lpstr>NovIncomeTax</vt:lpstr>
      <vt:lpstr>NovInt</vt:lpstr>
      <vt:lpstr>NovInventory</vt:lpstr>
      <vt:lpstr>NovLabor</vt:lpstr>
      <vt:lpstr>NovLine1COGS</vt:lpstr>
      <vt:lpstr>NovLine1Freight</vt:lpstr>
      <vt:lpstr>NovLine1Labor</vt:lpstr>
      <vt:lpstr>NovLine1Mat</vt:lpstr>
      <vt:lpstr>NovLine1Price</vt:lpstr>
      <vt:lpstr>NovLine1Units</vt:lpstr>
      <vt:lpstr>NovLine2COGS</vt:lpstr>
      <vt:lpstr>NovLine2Freight</vt:lpstr>
      <vt:lpstr>NovLine2Labor</vt:lpstr>
      <vt:lpstr>NovLine2Mat</vt:lpstr>
      <vt:lpstr>NovLine2Price</vt:lpstr>
      <vt:lpstr>NovLine2Units</vt:lpstr>
      <vt:lpstr>NovLine3COGS</vt:lpstr>
      <vt:lpstr>NovLine3Freight</vt:lpstr>
      <vt:lpstr>NovLine3Labor</vt:lpstr>
      <vt:lpstr>NovLine3Mat</vt:lpstr>
      <vt:lpstr>NovLine3Price</vt:lpstr>
      <vt:lpstr>NovLine3Units</vt:lpstr>
      <vt:lpstr>NovLine4COGS</vt:lpstr>
      <vt:lpstr>NovLine4Freight</vt:lpstr>
      <vt:lpstr>NovLine4Labor</vt:lpstr>
      <vt:lpstr>NovLine4Mat</vt:lpstr>
      <vt:lpstr>NovLine4Price</vt:lpstr>
      <vt:lpstr>NovLine4Units</vt:lpstr>
      <vt:lpstr>NovLine5COGS</vt:lpstr>
      <vt:lpstr>NovLine5Freight</vt:lpstr>
      <vt:lpstr>NovLine5Labor</vt:lpstr>
      <vt:lpstr>NovLine5Mat</vt:lpstr>
      <vt:lpstr>NovLine5Price</vt:lpstr>
      <vt:lpstr>NovLine5Units</vt:lpstr>
      <vt:lpstr>NovLoans</vt:lpstr>
      <vt:lpstr>NovLong</vt:lpstr>
      <vt:lpstr>NovMat</vt:lpstr>
      <vt:lpstr>NovNet</vt:lpstr>
      <vt:lpstr>NovOE</vt:lpstr>
      <vt:lpstr>NovOEPRTax</vt:lpstr>
      <vt:lpstr>NovPayment</vt:lpstr>
      <vt:lpstr>NovPrinciple</vt:lpstr>
      <vt:lpstr>NovPRTax</vt:lpstr>
      <vt:lpstr>NovRate</vt:lpstr>
      <vt:lpstr>NovRevenue</vt:lpstr>
      <vt:lpstr>NovSales</vt:lpstr>
      <vt:lpstr>NovShort</vt:lpstr>
      <vt:lpstr>NovTaxes</vt:lpstr>
      <vt:lpstr>NovTerm</vt:lpstr>
      <vt:lpstr>NovTotalPays</vt:lpstr>
      <vt:lpstr>NovTotEquity</vt:lpstr>
      <vt:lpstr>OctAR</vt:lpstr>
      <vt:lpstr>OctCOGS</vt:lpstr>
      <vt:lpstr>OctCommish</vt:lpstr>
      <vt:lpstr>OctDepr</vt:lpstr>
      <vt:lpstr>OctEndingCash</vt:lpstr>
      <vt:lpstr>OctEqmt</vt:lpstr>
      <vt:lpstr>OctEquity</vt:lpstr>
      <vt:lpstr>OctFreight</vt:lpstr>
      <vt:lpstr>OctIncome</vt:lpstr>
      <vt:lpstr>OctIncomeTax</vt:lpstr>
      <vt:lpstr>OctInt</vt:lpstr>
      <vt:lpstr>OctInventory</vt:lpstr>
      <vt:lpstr>OctLabor</vt:lpstr>
      <vt:lpstr>OctLine1COGS</vt:lpstr>
      <vt:lpstr>OctLine1Freight</vt:lpstr>
      <vt:lpstr>OctLine1Labor</vt:lpstr>
      <vt:lpstr>OctLine1Mat</vt:lpstr>
      <vt:lpstr>OctLine1Price</vt:lpstr>
      <vt:lpstr>OctLine1Units</vt:lpstr>
      <vt:lpstr>OctLine2COGS</vt:lpstr>
      <vt:lpstr>OctLine2Freight</vt:lpstr>
      <vt:lpstr>OctLine2Labor</vt:lpstr>
      <vt:lpstr>OctLine2Mat</vt:lpstr>
      <vt:lpstr>OctLine2Price</vt:lpstr>
      <vt:lpstr>OctLine2Units</vt:lpstr>
      <vt:lpstr>OctLine3COGS</vt:lpstr>
      <vt:lpstr>OctLine3Freight</vt:lpstr>
      <vt:lpstr>OctLine3Labor</vt:lpstr>
      <vt:lpstr>OctLine3Mat</vt:lpstr>
      <vt:lpstr>OctLine3Price</vt:lpstr>
      <vt:lpstr>OctLine3Units</vt:lpstr>
      <vt:lpstr>OctLine4COGS</vt:lpstr>
      <vt:lpstr>OctLine4Freight</vt:lpstr>
      <vt:lpstr>OctLine4Labor</vt:lpstr>
      <vt:lpstr>OctLine4Mat</vt:lpstr>
      <vt:lpstr>OctLine4Price</vt:lpstr>
      <vt:lpstr>OctLine4Units</vt:lpstr>
      <vt:lpstr>OctLine5COGS</vt:lpstr>
      <vt:lpstr>OctLine5Freight</vt:lpstr>
      <vt:lpstr>OctLine5Labor</vt:lpstr>
      <vt:lpstr>OctLine5Mat</vt:lpstr>
      <vt:lpstr>OctLine5Price</vt:lpstr>
      <vt:lpstr>OctLine5Units</vt:lpstr>
      <vt:lpstr>OctLoans</vt:lpstr>
      <vt:lpstr>OctLong</vt:lpstr>
      <vt:lpstr>OctMat</vt:lpstr>
      <vt:lpstr>OctNet</vt:lpstr>
      <vt:lpstr>OctOE</vt:lpstr>
      <vt:lpstr>OctOEPRTax</vt:lpstr>
      <vt:lpstr>OctPayment</vt:lpstr>
      <vt:lpstr>OctPrinciple</vt:lpstr>
      <vt:lpstr>OctPRTax</vt:lpstr>
      <vt:lpstr>OctRate</vt:lpstr>
      <vt:lpstr>OctRevenue</vt:lpstr>
      <vt:lpstr>OctSales</vt:lpstr>
      <vt:lpstr>OctShort</vt:lpstr>
      <vt:lpstr>OctTaxes</vt:lpstr>
      <vt:lpstr>OctTerm</vt:lpstr>
      <vt:lpstr>OctTotalPays</vt:lpstr>
      <vt:lpstr>OctTotEquity</vt:lpstr>
      <vt:lpstr>Period1AR</vt:lpstr>
      <vt:lpstr>Period1Cash</vt:lpstr>
      <vt:lpstr>Period1COGS</vt:lpstr>
      <vt:lpstr>Period1CurrentAssets</vt:lpstr>
      <vt:lpstr>Period1CurrentLiabilities</vt:lpstr>
      <vt:lpstr>Period1CurrentRatio</vt:lpstr>
      <vt:lpstr>Period1FixedAssets</vt:lpstr>
      <vt:lpstr>Period1Gross</vt:lpstr>
      <vt:lpstr>Period1Interest</vt:lpstr>
      <vt:lpstr>Period1OE</vt:lpstr>
      <vt:lpstr>Period1PBT</vt:lpstr>
      <vt:lpstr>Period1PBTPercent</vt:lpstr>
      <vt:lpstr>Period1RetainedEarnings</vt:lpstr>
      <vt:lpstr>Period1Sales</vt:lpstr>
      <vt:lpstr>Period1SalesToInv</vt:lpstr>
      <vt:lpstr>Period1SalesToRec</vt:lpstr>
      <vt:lpstr>Period1Stock</vt:lpstr>
      <vt:lpstr>Period1TotalAssets</vt:lpstr>
      <vt:lpstr>Period1TotalDE</vt:lpstr>
      <vt:lpstr>Period2AR</vt:lpstr>
      <vt:lpstr>Period2Cash</vt:lpstr>
      <vt:lpstr>Period2COGS</vt:lpstr>
      <vt:lpstr>Period2CurrentAssets</vt:lpstr>
      <vt:lpstr>Period2CurrentLiabilities</vt:lpstr>
      <vt:lpstr>Period2CurrentRatio</vt:lpstr>
      <vt:lpstr>Period2FixedAssets</vt:lpstr>
      <vt:lpstr>Period2Gross</vt:lpstr>
      <vt:lpstr>Period2Interest</vt:lpstr>
      <vt:lpstr>Period2OE</vt:lpstr>
      <vt:lpstr>Period2PBT</vt:lpstr>
      <vt:lpstr>Period2PBTPercent</vt:lpstr>
      <vt:lpstr>Period2RetainedEarnings</vt:lpstr>
      <vt:lpstr>Period2Sales</vt:lpstr>
      <vt:lpstr>Period2SalesToInv</vt:lpstr>
      <vt:lpstr>Period2SalesToRec</vt:lpstr>
      <vt:lpstr>Period2Stock</vt:lpstr>
      <vt:lpstr>Period2TotalAssets</vt:lpstr>
      <vt:lpstr>Period2TotalDE</vt:lpstr>
      <vt:lpstr>Period3AR</vt:lpstr>
      <vt:lpstr>Period3Cash</vt:lpstr>
      <vt:lpstr>Period3COGS</vt:lpstr>
      <vt:lpstr>Period3CurrentAssets</vt:lpstr>
      <vt:lpstr>Period3CurrentLiabilities</vt:lpstr>
      <vt:lpstr>Period3CurrentRatio</vt:lpstr>
      <vt:lpstr>Period3FixedAssets</vt:lpstr>
      <vt:lpstr>Period3Gross</vt:lpstr>
      <vt:lpstr>Period3Interest</vt:lpstr>
      <vt:lpstr>Period3OE</vt:lpstr>
      <vt:lpstr>Period3PBT</vt:lpstr>
      <vt:lpstr>Period3PBTPercent</vt:lpstr>
      <vt:lpstr>Period3RetainedEarnings</vt:lpstr>
      <vt:lpstr>Period3Sales</vt:lpstr>
      <vt:lpstr>Period3SalesToInv</vt:lpstr>
      <vt:lpstr>Period3SalesToRec</vt:lpstr>
      <vt:lpstr>Period3Stock</vt:lpstr>
      <vt:lpstr>Period3TotalAssets</vt:lpstr>
      <vt:lpstr>Period3TotalDE</vt:lpstr>
      <vt:lpstr>Period4AR</vt:lpstr>
      <vt:lpstr>Period4Cash</vt:lpstr>
      <vt:lpstr>Period4COGS</vt:lpstr>
      <vt:lpstr>Period4CurrentAssets</vt:lpstr>
      <vt:lpstr>Period4CurrentLiabilities</vt:lpstr>
      <vt:lpstr>Period4CurrentRatio</vt:lpstr>
      <vt:lpstr>Period4FixedAssets</vt:lpstr>
      <vt:lpstr>Period4Gross</vt:lpstr>
      <vt:lpstr>Period4Interest</vt:lpstr>
      <vt:lpstr>Period4OE</vt:lpstr>
      <vt:lpstr>Period4PBT</vt:lpstr>
      <vt:lpstr>Period4PBTPercent</vt:lpstr>
      <vt:lpstr>Period4RetainedEarnings</vt:lpstr>
      <vt:lpstr>Period4Sales</vt:lpstr>
      <vt:lpstr>Period4SalesToInv</vt:lpstr>
      <vt:lpstr>Period4SalesToRec</vt:lpstr>
      <vt:lpstr>Period4Stock</vt:lpstr>
      <vt:lpstr>Period4TotalAssets</vt:lpstr>
      <vt:lpstr>Period4TotalDE</vt:lpstr>
      <vt:lpstr>PreviousAccruedPayable</vt:lpstr>
      <vt:lpstr>PreviousAR</vt:lpstr>
      <vt:lpstr>PreviousCapitalStock</vt:lpstr>
      <vt:lpstr>PreviousDepreciation</vt:lpstr>
      <vt:lpstr>PreviousFixedAssets</vt:lpstr>
      <vt:lpstr>PreviousInventory</vt:lpstr>
      <vt:lpstr>PreviousPayables</vt:lpstr>
      <vt:lpstr>PreviousRetained</vt:lpstr>
      <vt:lpstr>Assumptions!Print_Area</vt:lpstr>
      <vt:lpstr>'Balance Sheet'!Print_Area</vt:lpstr>
      <vt:lpstr>'Cash Flow'!Print_Area</vt:lpstr>
      <vt:lpstr>Equipment!Print_Area</vt:lpstr>
      <vt:lpstr>FAQ!Print_Area</vt:lpstr>
      <vt:lpstr>Graphs!Print_Area</vt:lpstr>
      <vt:lpstr>'Income Statement'!Print_Area</vt:lpstr>
      <vt:lpstr>Loans!Print_Area</vt:lpstr>
      <vt:lpstr>'Operating Expenses'!Print_Area</vt:lpstr>
      <vt:lpstr>Overview!Print_Area</vt:lpstr>
      <vt:lpstr>Products!Print_Area</vt:lpstr>
      <vt:lpstr>Sales!Print_Area</vt:lpstr>
      <vt:lpstr>Q1OE</vt:lpstr>
      <vt:lpstr>Q2OE</vt:lpstr>
      <vt:lpstr>Q3OE</vt:lpstr>
      <vt:lpstr>Q3Sales</vt:lpstr>
      <vt:lpstr>Q4OE</vt:lpstr>
      <vt:lpstr>Q4Sales</vt:lpstr>
      <vt:lpstr>ReturnRate</vt:lpstr>
      <vt:lpstr>SalesCommissionRate</vt:lpstr>
      <vt:lpstr>SepAR</vt:lpstr>
      <vt:lpstr>SepCOGS</vt:lpstr>
      <vt:lpstr>SepCommish</vt:lpstr>
      <vt:lpstr>SepDepr</vt:lpstr>
      <vt:lpstr>SepEndingCash</vt:lpstr>
      <vt:lpstr>SepEqmt</vt:lpstr>
      <vt:lpstr>SepEquity</vt:lpstr>
      <vt:lpstr>SepFreight</vt:lpstr>
      <vt:lpstr>SepIncome</vt:lpstr>
      <vt:lpstr>SepIncomeTax</vt:lpstr>
      <vt:lpstr>SepInt</vt:lpstr>
      <vt:lpstr>SepInventory</vt:lpstr>
      <vt:lpstr>SepLabor</vt:lpstr>
      <vt:lpstr>SepLine1COGS</vt:lpstr>
      <vt:lpstr>SepLine1Freight</vt:lpstr>
      <vt:lpstr>SepLine1Labor</vt:lpstr>
      <vt:lpstr>SepLine1Mat</vt:lpstr>
      <vt:lpstr>SepLine1Price</vt:lpstr>
      <vt:lpstr>SepLine1Units</vt:lpstr>
      <vt:lpstr>SepLine2COGS</vt:lpstr>
      <vt:lpstr>SepLine2Freight</vt:lpstr>
      <vt:lpstr>SepLine2Labor</vt:lpstr>
      <vt:lpstr>SepLine2Mat</vt:lpstr>
      <vt:lpstr>SepLine2Price</vt:lpstr>
      <vt:lpstr>SepLine2Units</vt:lpstr>
      <vt:lpstr>SepLine3COGS</vt:lpstr>
      <vt:lpstr>SepLine3Freight</vt:lpstr>
      <vt:lpstr>SepLine3Labor</vt:lpstr>
      <vt:lpstr>SepLine3Mat</vt:lpstr>
      <vt:lpstr>SepLine3Price</vt:lpstr>
      <vt:lpstr>SepLine3Units</vt:lpstr>
      <vt:lpstr>SepLine4COGS</vt:lpstr>
      <vt:lpstr>SepLine4Freight</vt:lpstr>
      <vt:lpstr>SepLine4Labor</vt:lpstr>
      <vt:lpstr>SepLine4Mat</vt:lpstr>
      <vt:lpstr>SepLine4Price</vt:lpstr>
      <vt:lpstr>SepLine4Units</vt:lpstr>
      <vt:lpstr>SepLine5COGS</vt:lpstr>
      <vt:lpstr>SepLine5Freight</vt:lpstr>
      <vt:lpstr>SepLine5Labor</vt:lpstr>
      <vt:lpstr>SepLine5Mat</vt:lpstr>
      <vt:lpstr>SepLine5Price</vt:lpstr>
      <vt:lpstr>SepLine5Units</vt:lpstr>
      <vt:lpstr>SepLoans</vt:lpstr>
      <vt:lpstr>SepLong</vt:lpstr>
      <vt:lpstr>SepMat</vt:lpstr>
      <vt:lpstr>SepNet</vt:lpstr>
      <vt:lpstr>SepOE</vt:lpstr>
      <vt:lpstr>SepOEPRTax</vt:lpstr>
      <vt:lpstr>SepPayment</vt:lpstr>
      <vt:lpstr>SepPrinciple</vt:lpstr>
      <vt:lpstr>SepPRTax</vt:lpstr>
      <vt:lpstr>SepRate</vt:lpstr>
      <vt:lpstr>SepRevenue</vt:lpstr>
      <vt:lpstr>SepSales</vt:lpstr>
      <vt:lpstr>SepShort</vt:lpstr>
      <vt:lpstr>SepTaxes</vt:lpstr>
      <vt:lpstr>SepTerm</vt:lpstr>
      <vt:lpstr>SepTotalPays</vt:lpstr>
      <vt:lpstr>SepTotEquity</vt:lpstr>
      <vt:lpstr>Slide</vt:lpstr>
      <vt:lpstr>StartingWithDropdown</vt:lpstr>
      <vt:lpstr>StartMonth</vt:lpstr>
      <vt:lpstr>TaxRate</vt:lpstr>
      <vt:lpstr>ThisYear</vt:lpstr>
      <vt:lpstr>ThisYearEquity</vt:lpstr>
      <vt:lpstr>ThisYearFixedAssets</vt:lpstr>
      <vt:lpstr>ThisYearIncome</vt:lpstr>
      <vt:lpstr>ThisYearLoans</vt:lpstr>
      <vt:lpstr>ThisYearOE</vt:lpstr>
      <vt:lpstr>ThisYearSales</vt:lpstr>
      <vt:lpstr>TotalLine1Units</vt:lpstr>
      <vt:lpstr>TotalRevenue</vt:lpstr>
      <vt:lpstr>Unexpected</vt:lpstr>
    </vt:vector>
  </TitlesOfParts>
  <Company>Gordon Howard &amp; Assoc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Dunning</dc:creator>
  <cp:lastModifiedBy>Jamie Brandess</cp:lastModifiedBy>
  <cp:lastPrinted>2006-11-12T05:55:31Z</cp:lastPrinted>
  <dcterms:created xsi:type="dcterms:W3CDTF">2005-03-01T01:31:21Z</dcterms:created>
  <dcterms:modified xsi:type="dcterms:W3CDTF">2020-10-21T15:57:44Z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BeforeSave">
    <vt:lpwstr>C:\Documents and Settings\Melissa\My Documents\BoulderChamber\ProfitCycle.xls</vt:lpwstr>
  </property>
  <property fmtid="{D5CDD505-2E9C-101B-9397-08002B2CF9AE}" pid="3" name="_NewReviewCycle">
    <vt:lpwstr/>
  </property>
</Properties>
</file>